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0" yWindow="0" windowWidth="20490" windowHeight="7755" tabRatio="724" firstSheet="1" activeTab="4"/>
  </bookViews>
  <sheets>
    <sheet name="Set Up" sheetId="16" r:id="rId1"/>
    <sheet name="Draw" sheetId="62" r:id="rId2"/>
    <sheet name="Day 1" sheetId="10" r:id="rId3"/>
    <sheet name="Day 1 Details" sheetId="52" r:id="rId4"/>
    <sheet name="Day 1 Result" sheetId="19" r:id="rId5"/>
    <sheet name="Series" sheetId="51" r:id="rId6"/>
    <sheet name="Day 2" sheetId="66" r:id="rId7"/>
    <sheet name="Day 2 Details" sheetId="67" r:id="rId8"/>
    <sheet name="Day 2 Result" sheetId="68" r:id="rId9"/>
    <sheet name="Classification" sheetId="54" r:id="rId10"/>
    <sheet name="Keys" sheetId="69" r:id="rId11"/>
  </sheets>
  <externalReferences>
    <externalReference r:id="rId12"/>
  </externalReferences>
  <definedNames>
    <definedName name="_xlnm.Print_Area" localSheetId="9">Classification!$A$1:$AE$46</definedName>
    <definedName name="_xlnm.Print_Area" localSheetId="2">'Day 1'!$A$1:$AR$43</definedName>
    <definedName name="_xlnm.Print_Area" localSheetId="3">'Day 1 Details'!$A$1:$H$48</definedName>
    <definedName name="_xlnm.Print_Area" localSheetId="4">'Day 1 Result'!$A$1:$J$42</definedName>
    <definedName name="_xlnm.Print_Area" localSheetId="7">'Day 2 Details'!$A$1:$H$48</definedName>
    <definedName name="_xlnm.Print_Area" localSheetId="8">'Day 2 Result'!$A$1:$J$42</definedName>
    <definedName name="_xlnm.Print_Area" localSheetId="1">Draw!$A$1:$T$42</definedName>
    <definedName name="RIDERS">[1]RIDERS!$A$1:$F$25</definedName>
  </definedNames>
  <calcPr calcId="145621"/>
</workbook>
</file>

<file path=xl/calcChain.xml><?xml version="1.0" encoding="utf-8"?>
<calcChain xmlns="http://schemas.openxmlformats.org/spreadsheetml/2006/main">
  <c r="AS8" i="54" l="1"/>
  <c r="AQ8" i="54"/>
  <c r="AO8" i="54"/>
  <c r="AM8" i="54"/>
  <c r="AK8" i="54"/>
  <c r="AI8" i="54"/>
  <c r="AS7" i="54"/>
  <c r="AQ7" i="54"/>
  <c r="AO7" i="54"/>
  <c r="AM7" i="54"/>
  <c r="AK7" i="54"/>
  <c r="AI7" i="54"/>
  <c r="AS6" i="54"/>
  <c r="AQ6" i="54"/>
  <c r="AO6" i="54"/>
  <c r="AM6" i="54"/>
  <c r="AK6" i="54"/>
  <c r="AI6" i="54"/>
  <c r="AS5" i="54"/>
  <c r="AQ5" i="54"/>
  <c r="AO5" i="54"/>
  <c r="AM5" i="54"/>
  <c r="AK5" i="54"/>
  <c r="AI5" i="54"/>
  <c r="BE4" i="54"/>
  <c r="BC4" i="54"/>
  <c r="BA4" i="54"/>
  <c r="AY4" i="54"/>
  <c r="AW4" i="54"/>
  <c r="AU4" i="54"/>
  <c r="AS4" i="54"/>
  <c r="AQ4" i="54"/>
  <c r="AO4" i="54"/>
  <c r="AM4" i="54"/>
  <c r="AK4" i="54"/>
  <c r="AI4" i="54"/>
  <c r="A3" i="54"/>
  <c r="BK2" i="54"/>
  <c r="BJ2" i="54"/>
  <c r="A2" i="54"/>
  <c r="A1" i="54"/>
  <c r="G31" i="68"/>
  <c r="B31" i="68"/>
  <c r="P24" i="68"/>
  <c r="O24" i="68"/>
  <c r="M24" i="68"/>
  <c r="P23" i="68"/>
  <c r="O23" i="68"/>
  <c r="M23" i="68"/>
  <c r="P22" i="68"/>
  <c r="O22" i="68"/>
  <c r="M22" i="68"/>
  <c r="P21" i="68"/>
  <c r="O21" i="68"/>
  <c r="M21" i="68"/>
  <c r="P20" i="68"/>
  <c r="O20" i="68"/>
  <c r="M20" i="68"/>
  <c r="P19" i="68"/>
  <c r="O19" i="68"/>
  <c r="M19" i="68"/>
  <c r="M18" i="68"/>
  <c r="P17" i="68"/>
  <c r="O17" i="68"/>
  <c r="M17" i="68"/>
  <c r="P16" i="68"/>
  <c r="O16" i="68"/>
  <c r="M16" i="68"/>
  <c r="P15" i="68"/>
  <c r="O15" i="68"/>
  <c r="M15" i="68"/>
  <c r="P14" i="68"/>
  <c r="O14" i="68"/>
  <c r="M14" i="68"/>
  <c r="P13" i="68"/>
  <c r="O13" i="68"/>
  <c r="M13" i="68"/>
  <c r="P12" i="68"/>
  <c r="O12" i="68"/>
  <c r="M12" i="68"/>
  <c r="P11" i="68"/>
  <c r="O11" i="68"/>
  <c r="M11" i="68"/>
  <c r="P10" i="68"/>
  <c r="O10" i="68"/>
  <c r="M10" i="68"/>
  <c r="P9" i="68"/>
  <c r="O9" i="68"/>
  <c r="M9" i="68"/>
  <c r="P8" i="68"/>
  <c r="O8" i="68"/>
  <c r="M8" i="68"/>
  <c r="P7" i="68"/>
  <c r="O7" i="68"/>
  <c r="M7" i="68"/>
  <c r="B3" i="68"/>
  <c r="A2" i="68"/>
  <c r="A1" i="68"/>
  <c r="G41" i="67"/>
  <c r="B41" i="67"/>
  <c r="G39" i="67"/>
  <c r="B39" i="67"/>
  <c r="G37" i="67"/>
  <c r="B37" i="67"/>
  <c r="B35" i="67"/>
  <c r="B34" i="67"/>
  <c r="B33" i="67"/>
  <c r="B32" i="67"/>
  <c r="B30" i="67"/>
  <c r="B29" i="67"/>
  <c r="B28" i="67"/>
  <c r="B27" i="67"/>
  <c r="B25" i="67"/>
  <c r="B24" i="67"/>
  <c r="B23" i="67"/>
  <c r="B22" i="67"/>
  <c r="B20" i="67"/>
  <c r="B19" i="67"/>
  <c r="B18" i="67"/>
  <c r="B17" i="67"/>
  <c r="B15" i="67"/>
  <c r="B14" i="67"/>
  <c r="B13" i="67"/>
  <c r="B12" i="67"/>
  <c r="D7" i="67"/>
  <c r="G5" i="67"/>
  <c r="D5" i="67"/>
  <c r="G3" i="67"/>
  <c r="D3" i="67"/>
  <c r="A1" i="67"/>
  <c r="FD103" i="66"/>
  <c r="FC103" i="66"/>
  <c r="FB103" i="66"/>
  <c r="FD102" i="66"/>
  <c r="FC102" i="66"/>
  <c r="FB102" i="66"/>
  <c r="FB101" i="66"/>
  <c r="FB100" i="66"/>
  <c r="FB99" i="66"/>
  <c r="FB98" i="66"/>
  <c r="FB96" i="66"/>
  <c r="FB95" i="66"/>
  <c r="FB94" i="66"/>
  <c r="FB93" i="66"/>
  <c r="FB92" i="66"/>
  <c r="LG91" i="66"/>
  <c r="LF91" i="66" s="1"/>
  <c r="LE91" i="66" s="1"/>
  <c r="LD91" i="66"/>
  <c r="LC91" i="66" s="1"/>
  <c r="LB91" i="66" s="1"/>
  <c r="LA91" i="66"/>
  <c r="KZ91" i="66" s="1"/>
  <c r="KY91" i="66" s="1"/>
  <c r="KX91" i="66"/>
  <c r="KW91" i="66" s="1"/>
  <c r="KV91" i="66" s="1"/>
  <c r="KU91" i="66"/>
  <c r="KT91" i="66" s="1"/>
  <c r="KS91" i="66" s="1"/>
  <c r="KR91" i="66"/>
  <c r="KQ91" i="66" s="1"/>
  <c r="KP91" i="66" s="1"/>
  <c r="KO91" i="66"/>
  <c r="KN91" i="66" s="1"/>
  <c r="KM91" i="66" s="1"/>
  <c r="KL91" i="66"/>
  <c r="KK91" i="66" s="1"/>
  <c r="KJ91" i="66" s="1"/>
  <c r="KI91" i="66"/>
  <c r="KH91" i="66" s="1"/>
  <c r="KG91" i="66" s="1"/>
  <c r="KF91" i="66"/>
  <c r="KE91" i="66" s="1"/>
  <c r="KD91" i="66" s="1"/>
  <c r="KC91" i="66"/>
  <c r="KB91" i="66" s="1"/>
  <c r="KA91" i="66" s="1"/>
  <c r="JZ91" i="66"/>
  <c r="JY91" i="66" s="1"/>
  <c r="JX91" i="66" s="1"/>
  <c r="JW91" i="66"/>
  <c r="JV91" i="66" s="1"/>
  <c r="JU91" i="66" s="1"/>
  <c r="JT91" i="66"/>
  <c r="JS91" i="66" s="1"/>
  <c r="JR91" i="66" s="1"/>
  <c r="JQ91" i="66"/>
  <c r="JP91" i="66"/>
  <c r="JO91" i="66" s="1"/>
  <c r="JN91" i="66"/>
  <c r="JM91" i="66" s="1"/>
  <c r="JL91" i="66" s="1"/>
  <c r="HM91" i="66"/>
  <c r="HK91" i="66"/>
  <c r="HJ91" i="66"/>
  <c r="HH91" i="66"/>
  <c r="HC91" i="66"/>
  <c r="HA91" i="66"/>
  <c r="GZ91" i="66"/>
  <c r="GX91" i="66"/>
  <c r="FB91" i="66"/>
  <c r="LG90" i="66"/>
  <c r="LF90" i="66"/>
  <c r="LE90" i="66" s="1"/>
  <c r="LD90" i="66"/>
  <c r="LC90" i="66" s="1"/>
  <c r="LB90" i="66" s="1"/>
  <c r="LA90" i="66"/>
  <c r="KZ90" i="66" s="1"/>
  <c r="KY90" i="66" s="1"/>
  <c r="KX90" i="66"/>
  <c r="KW90" i="66" s="1"/>
  <c r="KV90" i="66" s="1"/>
  <c r="KU90" i="66"/>
  <c r="KT90" i="66" s="1"/>
  <c r="KS90" i="66" s="1"/>
  <c r="KR90" i="66"/>
  <c r="KQ90" i="66" s="1"/>
  <c r="KP90" i="66" s="1"/>
  <c r="KO90" i="66"/>
  <c r="KN90" i="66" s="1"/>
  <c r="KM90" i="66" s="1"/>
  <c r="KL90" i="66"/>
  <c r="KK90" i="66" s="1"/>
  <c r="KJ90" i="66" s="1"/>
  <c r="KI90" i="66"/>
  <c r="KH90" i="66" s="1"/>
  <c r="KG90" i="66" s="1"/>
  <c r="KF90" i="66"/>
  <c r="KE90" i="66"/>
  <c r="KD90" i="66" s="1"/>
  <c r="KC90" i="66"/>
  <c r="KB90" i="66" s="1"/>
  <c r="KA90" i="66" s="1"/>
  <c r="JZ90" i="66"/>
  <c r="JY90" i="66" s="1"/>
  <c r="JX90" i="66" s="1"/>
  <c r="JW90" i="66"/>
  <c r="JV90" i="66" s="1"/>
  <c r="JU90" i="66" s="1"/>
  <c r="JT90" i="66"/>
  <c r="JS90" i="66" s="1"/>
  <c r="JR90" i="66" s="1"/>
  <c r="JQ90" i="66"/>
  <c r="JP90" i="66" s="1"/>
  <c r="JO90" i="66" s="1"/>
  <c r="JN90" i="66"/>
  <c r="JM90" i="66" s="1"/>
  <c r="JL90" i="66" s="1"/>
  <c r="HM90" i="66"/>
  <c r="HK90" i="66"/>
  <c r="HJ90" i="66"/>
  <c r="HH90" i="66"/>
  <c r="HC90" i="66"/>
  <c r="HA90" i="66"/>
  <c r="GZ90" i="66"/>
  <c r="GX90" i="66"/>
  <c r="FB90" i="66"/>
  <c r="LG89" i="66"/>
  <c r="LF89" i="66" s="1"/>
  <c r="LE89" i="66" s="1"/>
  <c r="LD89" i="66"/>
  <c r="LC89" i="66" s="1"/>
  <c r="LB89" i="66" s="1"/>
  <c r="LA89" i="66"/>
  <c r="KZ89" i="66" s="1"/>
  <c r="KY89" i="66" s="1"/>
  <c r="KX89" i="66"/>
  <c r="KW89" i="66" s="1"/>
  <c r="KV89" i="66" s="1"/>
  <c r="KU89" i="66"/>
  <c r="KT89" i="66" s="1"/>
  <c r="KS89" i="66" s="1"/>
  <c r="KR89" i="66"/>
  <c r="KQ89" i="66" s="1"/>
  <c r="KP89" i="66" s="1"/>
  <c r="KO89" i="66"/>
  <c r="KN89" i="66"/>
  <c r="KM89" i="66" s="1"/>
  <c r="KL89" i="66"/>
  <c r="KK89" i="66"/>
  <c r="KJ89" i="66" s="1"/>
  <c r="KI89" i="66"/>
  <c r="KH89" i="66" s="1"/>
  <c r="KG89" i="66" s="1"/>
  <c r="KF89" i="66"/>
  <c r="KE89" i="66" s="1"/>
  <c r="KD89" i="66" s="1"/>
  <c r="KC89" i="66"/>
  <c r="KB89" i="66" s="1"/>
  <c r="KA89" i="66" s="1"/>
  <c r="JZ89" i="66"/>
  <c r="JY89" i="66" s="1"/>
  <c r="JX89" i="66"/>
  <c r="JW89" i="66"/>
  <c r="JV89" i="66" s="1"/>
  <c r="JU89" i="66" s="1"/>
  <c r="JT89" i="66"/>
  <c r="JS89" i="66" s="1"/>
  <c r="JR89" i="66" s="1"/>
  <c r="JQ89" i="66"/>
  <c r="JP89" i="66"/>
  <c r="JO89" i="66" s="1"/>
  <c r="JN89" i="66"/>
  <c r="JM89" i="66" s="1"/>
  <c r="JL89" i="66" s="1"/>
  <c r="HM89" i="66"/>
  <c r="HK89" i="66"/>
  <c r="HJ89" i="66"/>
  <c r="HH89" i="66"/>
  <c r="HC89" i="66"/>
  <c r="HA89" i="66"/>
  <c r="GZ89" i="66"/>
  <c r="GX89" i="66"/>
  <c r="FB89" i="66"/>
  <c r="LG88" i="66"/>
  <c r="LF88" i="66"/>
  <c r="LE88" i="66" s="1"/>
  <c r="LD88" i="66"/>
  <c r="LC88" i="66" s="1"/>
  <c r="LB88" i="66" s="1"/>
  <c r="LA88" i="66"/>
  <c r="KZ88" i="66" s="1"/>
  <c r="KY88" i="66" s="1"/>
  <c r="KX88" i="66"/>
  <c r="KW88" i="66" s="1"/>
  <c r="KV88" i="66" s="1"/>
  <c r="KU88" i="66"/>
  <c r="KT88" i="66" s="1"/>
  <c r="KS88" i="66" s="1"/>
  <c r="KR88" i="66"/>
  <c r="KQ88" i="66" s="1"/>
  <c r="KP88" i="66"/>
  <c r="KO88" i="66"/>
  <c r="KN88" i="66" s="1"/>
  <c r="KM88" i="66" s="1"/>
  <c r="KL88" i="66"/>
  <c r="KK88" i="66" s="1"/>
  <c r="KJ88" i="66" s="1"/>
  <c r="KI88" i="66"/>
  <c r="KH88" i="66"/>
  <c r="KG88" i="66" s="1"/>
  <c r="KF88" i="66"/>
  <c r="KE88" i="66" s="1"/>
  <c r="KD88" i="66" s="1"/>
  <c r="KC88" i="66"/>
  <c r="KB88" i="66" s="1"/>
  <c r="KA88" i="66" s="1"/>
  <c r="JZ88" i="66"/>
  <c r="JY88" i="66" s="1"/>
  <c r="JX88" i="66" s="1"/>
  <c r="JW88" i="66"/>
  <c r="JV88" i="66" s="1"/>
  <c r="JU88" i="66" s="1"/>
  <c r="JT88" i="66"/>
  <c r="JS88" i="66" s="1"/>
  <c r="JR88" i="66" s="1"/>
  <c r="JQ88" i="66"/>
  <c r="JP88" i="66" s="1"/>
  <c r="JO88" i="66" s="1"/>
  <c r="JN88" i="66"/>
  <c r="JM88" i="66" s="1"/>
  <c r="JL88" i="66" s="1"/>
  <c r="HM88" i="66"/>
  <c r="HK88" i="66"/>
  <c r="HJ88" i="66"/>
  <c r="HH88" i="66"/>
  <c r="HC88" i="66"/>
  <c r="HA88" i="66"/>
  <c r="GZ88" i="66"/>
  <c r="GX88" i="66"/>
  <c r="FB88" i="66"/>
  <c r="LG87" i="66"/>
  <c r="LF87" i="66" s="1"/>
  <c r="LE87" i="66" s="1"/>
  <c r="LD87" i="66"/>
  <c r="LC87" i="66" s="1"/>
  <c r="LB87" i="66" s="1"/>
  <c r="LA87" i="66"/>
  <c r="KZ87" i="66" s="1"/>
  <c r="KY87" i="66" s="1"/>
  <c r="KX87" i="66"/>
  <c r="KW87" i="66" s="1"/>
  <c r="KV87" i="66" s="1"/>
  <c r="KU87" i="66"/>
  <c r="KT87" i="66" s="1"/>
  <c r="KS87" i="66" s="1"/>
  <c r="KR87" i="66"/>
  <c r="KQ87" i="66" s="1"/>
  <c r="KP87" i="66" s="1"/>
  <c r="KO87" i="66"/>
  <c r="KN87" i="66" s="1"/>
  <c r="KM87" i="66" s="1"/>
  <c r="KL87" i="66"/>
  <c r="KK87" i="66"/>
  <c r="KJ87" i="66" s="1"/>
  <c r="KI87" i="66"/>
  <c r="KH87" i="66" s="1"/>
  <c r="KG87" i="66" s="1"/>
  <c r="KF87" i="66"/>
  <c r="KE87" i="66" s="1"/>
  <c r="KD87" i="66" s="1"/>
  <c r="KC87" i="66"/>
  <c r="KB87" i="66" s="1"/>
  <c r="KA87" i="66" s="1"/>
  <c r="JZ87" i="66"/>
  <c r="JY87" i="66" s="1"/>
  <c r="JX87" i="66" s="1"/>
  <c r="JW87" i="66"/>
  <c r="JV87" i="66" s="1"/>
  <c r="JU87" i="66" s="1"/>
  <c r="JT87" i="66"/>
  <c r="JS87" i="66" s="1"/>
  <c r="JR87" i="66" s="1"/>
  <c r="JQ87" i="66"/>
  <c r="JP87" i="66"/>
  <c r="JO87" i="66" s="1"/>
  <c r="JN87" i="66"/>
  <c r="JM87" i="66" s="1"/>
  <c r="JL87" i="66" s="1"/>
  <c r="HM87" i="66"/>
  <c r="HK87" i="66"/>
  <c r="HJ87" i="66"/>
  <c r="HH87" i="66"/>
  <c r="HC87" i="66"/>
  <c r="HA87" i="66"/>
  <c r="GZ87" i="66"/>
  <c r="GX87" i="66"/>
  <c r="FB87" i="66"/>
  <c r="LG86" i="66"/>
  <c r="LF86" i="66" s="1"/>
  <c r="LE86" i="66" s="1"/>
  <c r="LD86" i="66"/>
  <c r="LC86" i="66" s="1"/>
  <c r="LB86" i="66" s="1"/>
  <c r="LA86" i="66"/>
  <c r="KZ86" i="66" s="1"/>
  <c r="KY86" i="66" s="1"/>
  <c r="KX86" i="66"/>
  <c r="KW86" i="66" s="1"/>
  <c r="KV86" i="66" s="1"/>
  <c r="KU86" i="66"/>
  <c r="KT86" i="66" s="1"/>
  <c r="KS86" i="66" s="1"/>
  <c r="KR86" i="66"/>
  <c r="KQ86" i="66"/>
  <c r="KP86" i="66" s="1"/>
  <c r="KO86" i="66"/>
  <c r="KN86" i="66" s="1"/>
  <c r="KM86" i="66" s="1"/>
  <c r="KL86" i="66"/>
  <c r="KK86" i="66" s="1"/>
  <c r="KJ86" i="66" s="1"/>
  <c r="KI86" i="66"/>
  <c r="KH86" i="66" s="1"/>
  <c r="KG86" i="66" s="1"/>
  <c r="KF86" i="66"/>
  <c r="KE86" i="66"/>
  <c r="KD86" i="66" s="1"/>
  <c r="KC86" i="66"/>
  <c r="KB86" i="66" s="1"/>
  <c r="KA86" i="66" s="1"/>
  <c r="JZ86" i="66"/>
  <c r="JY86" i="66"/>
  <c r="JX86" i="66" s="1"/>
  <c r="JW86" i="66"/>
  <c r="JV86" i="66" s="1"/>
  <c r="JU86" i="66" s="1"/>
  <c r="JT86" i="66"/>
  <c r="JS86" i="66" s="1"/>
  <c r="JR86" i="66" s="1"/>
  <c r="JQ86" i="66"/>
  <c r="JP86" i="66" s="1"/>
  <c r="JO86" i="66" s="1"/>
  <c r="JN86" i="66"/>
  <c r="JM86" i="66" s="1"/>
  <c r="JL86" i="66" s="1"/>
  <c r="HM86" i="66"/>
  <c r="HK86" i="66"/>
  <c r="HJ86" i="66"/>
  <c r="HH86" i="66"/>
  <c r="HC86" i="66"/>
  <c r="HA86" i="66"/>
  <c r="GZ86" i="66"/>
  <c r="GX86" i="66"/>
  <c r="FB86" i="66"/>
  <c r="LG85" i="66"/>
  <c r="LF85" i="66" s="1"/>
  <c r="LE85" i="66" s="1"/>
  <c r="LD85" i="66"/>
  <c r="LC85" i="66"/>
  <c r="LB85" i="66" s="1"/>
  <c r="LA85" i="66"/>
  <c r="KZ85" i="66" s="1"/>
  <c r="KY85" i="66" s="1"/>
  <c r="KX85" i="66"/>
  <c r="KW85" i="66" s="1"/>
  <c r="KV85" i="66" s="1"/>
  <c r="KU85" i="66"/>
  <c r="KT85" i="66" s="1"/>
  <c r="KS85" i="66" s="1"/>
  <c r="KR85" i="66"/>
  <c r="KQ85" i="66" s="1"/>
  <c r="KP85" i="66" s="1"/>
  <c r="KO85" i="66"/>
  <c r="KN85" i="66" s="1"/>
  <c r="KM85" i="66" s="1"/>
  <c r="KL85" i="66"/>
  <c r="KK85" i="66" s="1"/>
  <c r="KJ85" i="66" s="1"/>
  <c r="KI85" i="66"/>
  <c r="KH85" i="66"/>
  <c r="KG85" i="66" s="1"/>
  <c r="KF85" i="66"/>
  <c r="KE85" i="66" s="1"/>
  <c r="KD85" i="66" s="1"/>
  <c r="KC85" i="66"/>
  <c r="KB85" i="66" s="1"/>
  <c r="KA85" i="66" s="1"/>
  <c r="JZ85" i="66"/>
  <c r="JY85" i="66" s="1"/>
  <c r="JX85" i="66" s="1"/>
  <c r="JW85" i="66"/>
  <c r="JV85" i="66" s="1"/>
  <c r="JU85" i="66" s="1"/>
  <c r="JT85" i="66"/>
  <c r="JS85" i="66" s="1"/>
  <c r="JR85" i="66" s="1"/>
  <c r="JQ85" i="66"/>
  <c r="JP85" i="66" s="1"/>
  <c r="JO85" i="66" s="1"/>
  <c r="JN85" i="66"/>
  <c r="JM85" i="66" s="1"/>
  <c r="JL85" i="66" s="1"/>
  <c r="HM85" i="66"/>
  <c r="HK85" i="66"/>
  <c r="HJ85" i="66"/>
  <c r="HH85" i="66"/>
  <c r="HC85" i="66"/>
  <c r="HA85" i="66"/>
  <c r="GZ85" i="66"/>
  <c r="GX85" i="66"/>
  <c r="LG84" i="66"/>
  <c r="LF84" i="66" s="1"/>
  <c r="LE84" i="66" s="1"/>
  <c r="LD84" i="66"/>
  <c r="LC84" i="66"/>
  <c r="LB84" i="66" s="1"/>
  <c r="LA84" i="66"/>
  <c r="KZ84" i="66" s="1"/>
  <c r="KY84" i="66" s="1"/>
  <c r="KX84" i="66"/>
  <c r="KW84" i="66" s="1"/>
  <c r="KV84" i="66" s="1"/>
  <c r="KU84" i="66"/>
  <c r="KT84" i="66" s="1"/>
  <c r="KS84" i="66" s="1"/>
  <c r="KR84" i="66"/>
  <c r="KQ84" i="66" s="1"/>
  <c r="KP84" i="66" s="1"/>
  <c r="KO84" i="66"/>
  <c r="KN84" i="66" s="1"/>
  <c r="KM84" i="66" s="1"/>
  <c r="KL84" i="66"/>
  <c r="KK84" i="66" s="1"/>
  <c r="KJ84" i="66" s="1"/>
  <c r="KI84" i="66"/>
  <c r="KH84" i="66"/>
  <c r="KG84" i="66" s="1"/>
  <c r="KF84" i="66"/>
  <c r="KE84" i="66" s="1"/>
  <c r="KD84" i="66" s="1"/>
  <c r="KC84" i="66"/>
  <c r="KB84" i="66" s="1"/>
  <c r="KA84" i="66" s="1"/>
  <c r="JZ84" i="66"/>
  <c r="JY84" i="66" s="1"/>
  <c r="JX84" i="66" s="1"/>
  <c r="JW84" i="66"/>
  <c r="JV84" i="66" s="1"/>
  <c r="JU84" i="66" s="1"/>
  <c r="JT84" i="66"/>
  <c r="JS84" i="66" s="1"/>
  <c r="JR84" i="66" s="1"/>
  <c r="JQ84" i="66"/>
  <c r="JP84" i="66" s="1"/>
  <c r="JO84" i="66" s="1"/>
  <c r="JN84" i="66"/>
  <c r="JM84" i="66" s="1"/>
  <c r="JL84" i="66" s="1"/>
  <c r="HM84" i="66"/>
  <c r="HK84" i="66"/>
  <c r="HJ84" i="66"/>
  <c r="HH84" i="66"/>
  <c r="HC84" i="66"/>
  <c r="HA84" i="66"/>
  <c r="GZ84" i="66"/>
  <c r="GX84" i="66"/>
  <c r="LG83" i="66"/>
  <c r="LF83" i="66" s="1"/>
  <c r="LE83" i="66" s="1"/>
  <c r="LD83" i="66"/>
  <c r="LC83" i="66" s="1"/>
  <c r="LB83" i="66" s="1"/>
  <c r="LA83" i="66"/>
  <c r="KZ83" i="66"/>
  <c r="KY83" i="66" s="1"/>
  <c r="KX83" i="66"/>
  <c r="KW83" i="66" s="1"/>
  <c r="KV83" i="66" s="1"/>
  <c r="KU83" i="66"/>
  <c r="KT83" i="66" s="1"/>
  <c r="KS83" i="66" s="1"/>
  <c r="KR83" i="66"/>
  <c r="KQ83" i="66" s="1"/>
  <c r="KP83" i="66" s="1"/>
  <c r="KO83" i="66"/>
  <c r="KN83" i="66" s="1"/>
  <c r="KM83" i="66" s="1"/>
  <c r="KL83" i="66"/>
  <c r="KK83" i="66" s="1"/>
  <c r="KJ83" i="66" s="1"/>
  <c r="KI83" i="66"/>
  <c r="KH83" i="66" s="1"/>
  <c r="KG83" i="66" s="1"/>
  <c r="KF83" i="66"/>
  <c r="KE83" i="66" s="1"/>
  <c r="KD83" i="66" s="1"/>
  <c r="KC83" i="66"/>
  <c r="KB83" i="66" s="1"/>
  <c r="KA83" i="66" s="1"/>
  <c r="JZ83" i="66"/>
  <c r="JY83" i="66"/>
  <c r="JX83" i="66" s="1"/>
  <c r="JW83" i="66"/>
  <c r="JV83" i="66" s="1"/>
  <c r="JU83" i="66" s="1"/>
  <c r="JT83" i="66"/>
  <c r="JS83" i="66" s="1"/>
  <c r="JR83" i="66" s="1"/>
  <c r="JQ83" i="66"/>
  <c r="JP83" i="66" s="1"/>
  <c r="JO83" i="66" s="1"/>
  <c r="JN83" i="66"/>
  <c r="JM83" i="66" s="1"/>
  <c r="JL83" i="66"/>
  <c r="HM83" i="66"/>
  <c r="HK83" i="66"/>
  <c r="HJ83" i="66"/>
  <c r="HH83" i="66"/>
  <c r="HC83" i="66"/>
  <c r="HA83" i="66"/>
  <c r="GZ83" i="66"/>
  <c r="GX83" i="66"/>
  <c r="FC83" i="66"/>
  <c r="FB83" i="66"/>
  <c r="LG82" i="66"/>
  <c r="LF82" i="66" s="1"/>
  <c r="LE82" i="66" s="1"/>
  <c r="LD82" i="66"/>
  <c r="LC82" i="66" s="1"/>
  <c r="LB82" i="66" s="1"/>
  <c r="LA82" i="66"/>
  <c r="KZ82" i="66" s="1"/>
  <c r="KY82" i="66" s="1"/>
  <c r="KX82" i="66"/>
  <c r="KW82" i="66" s="1"/>
  <c r="KV82" i="66" s="1"/>
  <c r="KU82" i="66"/>
  <c r="KT82" i="66" s="1"/>
  <c r="KS82" i="66" s="1"/>
  <c r="KR82" i="66"/>
  <c r="KQ82" i="66" s="1"/>
  <c r="KP82" i="66" s="1"/>
  <c r="KO82" i="66"/>
  <c r="KN82" i="66"/>
  <c r="KM82" i="66" s="1"/>
  <c r="KL82" i="66"/>
  <c r="KK82" i="66" s="1"/>
  <c r="KJ82" i="66" s="1"/>
  <c r="KI82" i="66"/>
  <c r="KH82" i="66" s="1"/>
  <c r="KG82" i="66" s="1"/>
  <c r="KF82" i="66"/>
  <c r="KE82" i="66" s="1"/>
  <c r="KD82" i="66" s="1"/>
  <c r="KC82" i="66"/>
  <c r="KB82" i="66" s="1"/>
  <c r="KA82" i="66" s="1"/>
  <c r="JZ82" i="66"/>
  <c r="JY82" i="66" s="1"/>
  <c r="JX82" i="66" s="1"/>
  <c r="JW82" i="66"/>
  <c r="JV82" i="66" s="1"/>
  <c r="JU82" i="66" s="1"/>
  <c r="JT82" i="66"/>
  <c r="JS82" i="66"/>
  <c r="JR82" i="66" s="1"/>
  <c r="JQ82" i="66"/>
  <c r="JP82" i="66" s="1"/>
  <c r="JO82" i="66" s="1"/>
  <c r="JN82" i="66"/>
  <c r="JM82" i="66" s="1"/>
  <c r="JL82" i="66" s="1"/>
  <c r="HM82" i="66"/>
  <c r="HK82" i="66"/>
  <c r="HJ82" i="66"/>
  <c r="HH82" i="66"/>
  <c r="HC82" i="66"/>
  <c r="HA82" i="66"/>
  <c r="GZ82" i="66"/>
  <c r="GX82" i="66"/>
  <c r="FC82" i="66"/>
  <c r="FB82" i="66"/>
  <c r="LG81" i="66"/>
  <c r="LF81" i="66"/>
  <c r="LE81" i="66" s="1"/>
  <c r="LD81" i="66"/>
  <c r="LC81" i="66" s="1"/>
  <c r="LB81" i="66" s="1"/>
  <c r="LA81" i="66"/>
  <c r="KZ81" i="66" s="1"/>
  <c r="KY81" i="66" s="1"/>
  <c r="KX81" i="66"/>
  <c r="KW81" i="66" s="1"/>
  <c r="KV81" i="66" s="1"/>
  <c r="KU81" i="66"/>
  <c r="KT81" i="66" s="1"/>
  <c r="KS81" i="66" s="1"/>
  <c r="KR81" i="66"/>
  <c r="KQ81" i="66" s="1"/>
  <c r="KP81" i="66" s="1"/>
  <c r="KO81" i="66"/>
  <c r="KN81" i="66" s="1"/>
  <c r="KM81" i="66" s="1"/>
  <c r="KL81" i="66"/>
  <c r="KK81" i="66" s="1"/>
  <c r="KJ81" i="66" s="1"/>
  <c r="KI81" i="66"/>
  <c r="KH81" i="66" s="1"/>
  <c r="KG81" i="66" s="1"/>
  <c r="KF81" i="66"/>
  <c r="KE81" i="66"/>
  <c r="KD81" i="66" s="1"/>
  <c r="KC81" i="66"/>
  <c r="KB81" i="66" s="1"/>
  <c r="KA81" i="66" s="1"/>
  <c r="JZ81" i="66"/>
  <c r="JY81" i="66" s="1"/>
  <c r="JX81" i="66" s="1"/>
  <c r="JW81" i="66"/>
  <c r="JV81" i="66" s="1"/>
  <c r="JU81" i="66" s="1"/>
  <c r="JT81" i="66"/>
  <c r="JS81" i="66" s="1"/>
  <c r="JR81" i="66" s="1"/>
  <c r="JQ81" i="66"/>
  <c r="JP81" i="66" s="1"/>
  <c r="JO81" i="66" s="1"/>
  <c r="JN81" i="66"/>
  <c r="JM81" i="66" s="1"/>
  <c r="JL81" i="66" s="1"/>
  <c r="HM81" i="66"/>
  <c r="HK81" i="66"/>
  <c r="HJ81" i="66"/>
  <c r="HH81" i="66"/>
  <c r="HC81" i="66"/>
  <c r="HA81" i="66"/>
  <c r="GZ81" i="66"/>
  <c r="GX81" i="66"/>
  <c r="FB81" i="66"/>
  <c r="LG80" i="66"/>
  <c r="LF80" i="66" s="1"/>
  <c r="LE80" i="66" s="1"/>
  <c r="LD80" i="66"/>
  <c r="LC80" i="66" s="1"/>
  <c r="LB80" i="66" s="1"/>
  <c r="LA80" i="66"/>
  <c r="KZ80" i="66" s="1"/>
  <c r="KY80" i="66" s="1"/>
  <c r="KX80" i="66"/>
  <c r="KW80" i="66"/>
  <c r="KV80" i="66" s="1"/>
  <c r="KU80" i="66"/>
  <c r="KT80" i="66" s="1"/>
  <c r="KS80" i="66" s="1"/>
  <c r="KR80" i="66"/>
  <c r="KQ80" i="66" s="1"/>
  <c r="KP80" i="66" s="1"/>
  <c r="KO80" i="66"/>
  <c r="KN80" i="66" s="1"/>
  <c r="KM80" i="66" s="1"/>
  <c r="KL80" i="66"/>
  <c r="KK80" i="66" s="1"/>
  <c r="KJ80" i="66" s="1"/>
  <c r="KI80" i="66"/>
  <c r="KH80" i="66" s="1"/>
  <c r="KG80" i="66" s="1"/>
  <c r="KF80" i="66"/>
  <c r="KE80" i="66" s="1"/>
  <c r="KD80" i="66" s="1"/>
  <c r="KC80" i="66"/>
  <c r="KB80" i="66" s="1"/>
  <c r="KA80" i="66" s="1"/>
  <c r="JZ80" i="66"/>
  <c r="JY80" i="66" s="1"/>
  <c r="JX80" i="66" s="1"/>
  <c r="JW80" i="66"/>
  <c r="JV80" i="66"/>
  <c r="JU80" i="66" s="1"/>
  <c r="JT80" i="66"/>
  <c r="JS80" i="66" s="1"/>
  <c r="JR80" i="66" s="1"/>
  <c r="JQ80" i="66"/>
  <c r="JP80" i="66" s="1"/>
  <c r="JO80" i="66" s="1"/>
  <c r="JN80" i="66"/>
  <c r="JM80" i="66" s="1"/>
  <c r="JL80" i="66" s="1"/>
  <c r="HM80" i="66"/>
  <c r="HK80" i="66"/>
  <c r="HJ80" i="66"/>
  <c r="HH80" i="66"/>
  <c r="HC80" i="66"/>
  <c r="HA80" i="66"/>
  <c r="GZ80" i="66"/>
  <c r="GX80" i="66"/>
  <c r="FB80" i="66"/>
  <c r="LG79" i="66"/>
  <c r="LF79" i="66" s="1"/>
  <c r="LE79" i="66" s="1"/>
  <c r="LD79" i="66"/>
  <c r="LC79" i="66" s="1"/>
  <c r="LB79" i="66" s="1"/>
  <c r="LA79" i="66"/>
  <c r="KZ79" i="66"/>
  <c r="KY79" i="66" s="1"/>
  <c r="KX79" i="66"/>
  <c r="KW79" i="66" s="1"/>
  <c r="KV79" i="66" s="1"/>
  <c r="KU79" i="66"/>
  <c r="KT79" i="66" s="1"/>
  <c r="KS79" i="66" s="1"/>
  <c r="KR79" i="66"/>
  <c r="KQ79" i="66" s="1"/>
  <c r="KP79" i="66" s="1"/>
  <c r="KO79" i="66"/>
  <c r="KN79" i="66" s="1"/>
  <c r="KM79" i="66" s="1"/>
  <c r="KL79" i="66"/>
  <c r="KK79" i="66" s="1"/>
  <c r="KJ79" i="66"/>
  <c r="KI79" i="66"/>
  <c r="KH79" i="66" s="1"/>
  <c r="KG79" i="66" s="1"/>
  <c r="KF79" i="66"/>
  <c r="KE79" i="66" s="1"/>
  <c r="KD79" i="66" s="1"/>
  <c r="KC79" i="66"/>
  <c r="KB79" i="66"/>
  <c r="KA79" i="66" s="1"/>
  <c r="JZ79" i="66"/>
  <c r="JY79" i="66" s="1"/>
  <c r="JX79" i="66" s="1"/>
  <c r="JW79" i="66"/>
  <c r="JV79" i="66" s="1"/>
  <c r="JU79" i="66" s="1"/>
  <c r="JT79" i="66"/>
  <c r="JS79" i="66" s="1"/>
  <c r="JR79" i="66" s="1"/>
  <c r="JQ79" i="66"/>
  <c r="JP79" i="66" s="1"/>
  <c r="JO79" i="66" s="1"/>
  <c r="JN79" i="66"/>
  <c r="JM79" i="66"/>
  <c r="JL79" i="66" s="1"/>
  <c r="HM79" i="66"/>
  <c r="HK79" i="66"/>
  <c r="HJ79" i="66"/>
  <c r="HH79" i="66"/>
  <c r="HC79" i="66"/>
  <c r="HA79" i="66"/>
  <c r="GZ79" i="66"/>
  <c r="GX79" i="66"/>
  <c r="FB79" i="66"/>
  <c r="LG78" i="66"/>
  <c r="LF78" i="66" s="1"/>
  <c r="LE78" i="66" s="1"/>
  <c r="LD78" i="66"/>
  <c r="LC78" i="66" s="1"/>
  <c r="LB78" i="66" s="1"/>
  <c r="LA78" i="66"/>
  <c r="KZ78" i="66" s="1"/>
  <c r="KY78" i="66" s="1"/>
  <c r="KX78" i="66"/>
  <c r="KW78" i="66" s="1"/>
  <c r="KV78" i="66" s="1"/>
  <c r="KU78" i="66"/>
  <c r="KT78" i="66" s="1"/>
  <c r="KS78" i="66" s="1"/>
  <c r="KR78" i="66"/>
  <c r="KQ78" i="66" s="1"/>
  <c r="KP78" i="66" s="1"/>
  <c r="KO78" i="66"/>
  <c r="KN78" i="66" s="1"/>
  <c r="KM78" i="66" s="1"/>
  <c r="KL78" i="66"/>
  <c r="KK78" i="66" s="1"/>
  <c r="KJ78" i="66" s="1"/>
  <c r="KI78" i="66"/>
  <c r="KH78" i="66" s="1"/>
  <c r="KG78" i="66" s="1"/>
  <c r="KF78" i="66"/>
  <c r="KE78" i="66" s="1"/>
  <c r="KD78" i="66" s="1"/>
  <c r="KC78" i="66"/>
  <c r="KB78" i="66" s="1"/>
  <c r="KA78" i="66" s="1"/>
  <c r="JZ78" i="66"/>
  <c r="JY78" i="66" s="1"/>
  <c r="JX78" i="66" s="1"/>
  <c r="JW78" i="66"/>
  <c r="JV78" i="66" s="1"/>
  <c r="JU78" i="66" s="1"/>
  <c r="JT78" i="66"/>
  <c r="JS78" i="66" s="1"/>
  <c r="JR78" i="66" s="1"/>
  <c r="JQ78" i="66"/>
  <c r="JP78" i="66" s="1"/>
  <c r="JO78" i="66"/>
  <c r="JN78" i="66"/>
  <c r="JM78" i="66" s="1"/>
  <c r="JL78" i="66" s="1"/>
  <c r="HM78" i="66"/>
  <c r="HK78" i="66"/>
  <c r="HJ78" i="66"/>
  <c r="HH78" i="66"/>
  <c r="HC78" i="66"/>
  <c r="HA78" i="66"/>
  <c r="GZ78" i="66"/>
  <c r="GX78" i="66"/>
  <c r="FB78" i="66"/>
  <c r="LG77" i="66"/>
  <c r="LF77" i="66"/>
  <c r="LE77" i="66" s="1"/>
  <c r="LD77" i="66"/>
  <c r="LC77" i="66" s="1"/>
  <c r="LB77" i="66" s="1"/>
  <c r="LA77" i="66"/>
  <c r="KZ77" i="66" s="1"/>
  <c r="KY77" i="66" s="1"/>
  <c r="KX77" i="66"/>
  <c r="KW77" i="66" s="1"/>
  <c r="KV77" i="66" s="1"/>
  <c r="KU77" i="66"/>
  <c r="KT77" i="66" s="1"/>
  <c r="KS77" i="66" s="1"/>
  <c r="KR77" i="66"/>
  <c r="KQ77" i="66" s="1"/>
  <c r="KP77" i="66" s="1"/>
  <c r="KO77" i="66"/>
  <c r="KN77" i="66" s="1"/>
  <c r="KM77" i="66" s="1"/>
  <c r="KL77" i="66"/>
  <c r="KK77" i="66" s="1"/>
  <c r="KJ77" i="66" s="1"/>
  <c r="KI77" i="66"/>
  <c r="KH77" i="66"/>
  <c r="KG77" i="66" s="1"/>
  <c r="KF77" i="66"/>
  <c r="KE77" i="66" s="1"/>
  <c r="KD77" i="66" s="1"/>
  <c r="KC77" i="66"/>
  <c r="KB77" i="66" s="1"/>
  <c r="KA77" i="66" s="1"/>
  <c r="JZ77" i="66"/>
  <c r="JY77" i="66"/>
  <c r="JX77" i="66" s="1"/>
  <c r="JW77" i="66"/>
  <c r="JV77" i="66" s="1"/>
  <c r="JU77" i="66" s="1"/>
  <c r="JT77" i="66"/>
  <c r="JS77" i="66" s="1"/>
  <c r="JR77" i="66" s="1"/>
  <c r="JQ77" i="66"/>
  <c r="JP77" i="66" s="1"/>
  <c r="JO77" i="66" s="1"/>
  <c r="JN77" i="66"/>
  <c r="JM77" i="66" s="1"/>
  <c r="JL77" i="66" s="1"/>
  <c r="HM77" i="66"/>
  <c r="HK77" i="66"/>
  <c r="HJ77" i="66"/>
  <c r="HH77" i="66"/>
  <c r="HC77" i="66"/>
  <c r="HA77" i="66"/>
  <c r="GZ77" i="66"/>
  <c r="GX77" i="66"/>
  <c r="LG76" i="66"/>
  <c r="LF76" i="66" s="1"/>
  <c r="LE76" i="66" s="1"/>
  <c r="LD76" i="66"/>
  <c r="LC76" i="66" s="1"/>
  <c r="LB76" i="66" s="1"/>
  <c r="LA76" i="66"/>
  <c r="KZ76" i="66" s="1"/>
  <c r="KY76" i="66" s="1"/>
  <c r="KX76" i="66"/>
  <c r="KW76" i="66" s="1"/>
  <c r="KV76" i="66" s="1"/>
  <c r="KU76" i="66"/>
  <c r="KT76" i="66" s="1"/>
  <c r="KS76" i="66" s="1"/>
  <c r="KR76" i="66"/>
  <c r="KQ76" i="66"/>
  <c r="KP76" i="66" s="1"/>
  <c r="KO76" i="66"/>
  <c r="KN76" i="66" s="1"/>
  <c r="KM76" i="66" s="1"/>
  <c r="KL76" i="66"/>
  <c r="KK76" i="66" s="1"/>
  <c r="KJ76" i="66" s="1"/>
  <c r="KI76" i="66"/>
  <c r="KH76" i="66" s="1"/>
  <c r="KG76" i="66" s="1"/>
  <c r="KF76" i="66"/>
  <c r="KE76" i="66" s="1"/>
  <c r="KD76" i="66" s="1"/>
  <c r="KC76" i="66"/>
  <c r="KB76" i="66" s="1"/>
  <c r="KA76" i="66" s="1"/>
  <c r="JZ76" i="66"/>
  <c r="JY76" i="66" s="1"/>
  <c r="JX76" i="66" s="1"/>
  <c r="JW76" i="66"/>
  <c r="JV76" i="66" s="1"/>
  <c r="JU76" i="66" s="1"/>
  <c r="JT76" i="66"/>
  <c r="JS76" i="66" s="1"/>
  <c r="JR76" i="66" s="1"/>
  <c r="JQ76" i="66"/>
  <c r="JP76" i="66"/>
  <c r="JO76" i="66" s="1"/>
  <c r="JN76" i="66"/>
  <c r="JM76" i="66" s="1"/>
  <c r="JL76" i="66" s="1"/>
  <c r="HM76" i="66"/>
  <c r="HK76" i="66"/>
  <c r="HJ76" i="66"/>
  <c r="HH76" i="66"/>
  <c r="HC76" i="66"/>
  <c r="HA76" i="66"/>
  <c r="GZ76" i="66"/>
  <c r="GX76" i="66"/>
  <c r="FB76" i="66"/>
  <c r="LG75" i="66"/>
  <c r="LF75" i="66" s="1"/>
  <c r="LE75" i="66" s="1"/>
  <c r="LD75" i="66"/>
  <c r="LC75" i="66" s="1"/>
  <c r="LB75" i="66" s="1"/>
  <c r="LA75" i="66"/>
  <c r="KZ75" i="66" s="1"/>
  <c r="KY75" i="66" s="1"/>
  <c r="KX75" i="66"/>
  <c r="KW75" i="66" s="1"/>
  <c r="KV75" i="66" s="1"/>
  <c r="KU75" i="66"/>
  <c r="KT75" i="66"/>
  <c r="KS75" i="66" s="1"/>
  <c r="KR75" i="66"/>
  <c r="KQ75" i="66" s="1"/>
  <c r="KP75" i="66" s="1"/>
  <c r="KO75" i="66"/>
  <c r="KN75" i="66" s="1"/>
  <c r="KM75" i="66" s="1"/>
  <c r="KL75" i="66"/>
  <c r="KK75" i="66" s="1"/>
  <c r="KJ75" i="66" s="1"/>
  <c r="KI75" i="66"/>
  <c r="KH75" i="66" s="1"/>
  <c r="KG75" i="66" s="1"/>
  <c r="KF75" i="66"/>
  <c r="KE75" i="66" s="1"/>
  <c r="KD75" i="66"/>
  <c r="KC75" i="66"/>
  <c r="KB75" i="66" s="1"/>
  <c r="KA75" i="66" s="1"/>
  <c r="JZ75" i="66"/>
  <c r="JY75" i="66" s="1"/>
  <c r="JX75" i="66" s="1"/>
  <c r="JW75" i="66"/>
  <c r="JV75" i="66"/>
  <c r="JU75" i="66" s="1"/>
  <c r="JT75" i="66"/>
  <c r="JS75" i="66"/>
  <c r="JR75" i="66" s="1"/>
  <c r="JQ75" i="66"/>
  <c r="JP75" i="66" s="1"/>
  <c r="JO75" i="66" s="1"/>
  <c r="JN75" i="66"/>
  <c r="JM75" i="66" s="1"/>
  <c r="JL75" i="66" s="1"/>
  <c r="HM75" i="66"/>
  <c r="HK75" i="66"/>
  <c r="HJ75" i="66"/>
  <c r="HH75" i="66"/>
  <c r="HC75" i="66"/>
  <c r="HA75" i="66"/>
  <c r="GZ75" i="66"/>
  <c r="GX75" i="66"/>
  <c r="FB75" i="66"/>
  <c r="LG74" i="66"/>
  <c r="LF74" i="66" s="1"/>
  <c r="LE74" i="66" s="1"/>
  <c r="LD74" i="66"/>
  <c r="LC74" i="66" s="1"/>
  <c r="LB74" i="66" s="1"/>
  <c r="LA74" i="66"/>
  <c r="KZ74" i="66" s="1"/>
  <c r="KY74" i="66" s="1"/>
  <c r="KX74" i="66"/>
  <c r="KW74" i="66" s="1"/>
  <c r="KV74" i="66" s="1"/>
  <c r="KU74" i="66"/>
  <c r="KT74" i="66" s="1"/>
  <c r="KS74" i="66"/>
  <c r="KR74" i="66"/>
  <c r="KQ74" i="66" s="1"/>
  <c r="KP74" i="66" s="1"/>
  <c r="KO74" i="66"/>
  <c r="KN74" i="66" s="1"/>
  <c r="KM74" i="66" s="1"/>
  <c r="KL74" i="66"/>
  <c r="KK74" i="66"/>
  <c r="KJ74" i="66" s="1"/>
  <c r="KI74" i="66"/>
  <c r="KH74" i="66"/>
  <c r="KG74" i="66" s="1"/>
  <c r="KF74" i="66"/>
  <c r="KE74" i="66" s="1"/>
  <c r="KD74" i="66" s="1"/>
  <c r="KC74" i="66"/>
  <c r="KB74" i="66" s="1"/>
  <c r="KA74" i="66" s="1"/>
  <c r="JZ74" i="66"/>
  <c r="JY74" i="66" s="1"/>
  <c r="JX74" i="66" s="1"/>
  <c r="JW74" i="66"/>
  <c r="JV74" i="66" s="1"/>
  <c r="JU74" i="66" s="1"/>
  <c r="JT74" i="66"/>
  <c r="JS74" i="66" s="1"/>
  <c r="JR74" i="66" s="1"/>
  <c r="JQ74" i="66"/>
  <c r="JP74" i="66" s="1"/>
  <c r="JO74" i="66" s="1"/>
  <c r="JN74" i="66"/>
  <c r="JM74" i="66"/>
  <c r="JL74" i="66" s="1"/>
  <c r="HM74" i="66"/>
  <c r="HK74" i="66"/>
  <c r="HJ74" i="66"/>
  <c r="HH74" i="66"/>
  <c r="HC74" i="66"/>
  <c r="HA74" i="66"/>
  <c r="GZ74" i="66"/>
  <c r="GX74" i="66"/>
  <c r="FB74" i="66"/>
  <c r="LG73" i="66"/>
  <c r="LF73" i="66" s="1"/>
  <c r="LE73" i="66" s="1"/>
  <c r="LD73" i="66"/>
  <c r="LC73" i="66" s="1"/>
  <c r="LB73" i="66" s="1"/>
  <c r="LA73" i="66"/>
  <c r="KZ73" i="66" s="1"/>
  <c r="KY73" i="66" s="1"/>
  <c r="KX73" i="66"/>
  <c r="KW73" i="66" s="1"/>
  <c r="KV73" i="66" s="1"/>
  <c r="KU73" i="66"/>
  <c r="KT73" i="66" s="1"/>
  <c r="KS73" i="66" s="1"/>
  <c r="KR73" i="66"/>
  <c r="KQ73" i="66" s="1"/>
  <c r="KP73" i="66" s="1"/>
  <c r="KO73" i="66"/>
  <c r="KN73" i="66" s="1"/>
  <c r="KM73" i="66" s="1"/>
  <c r="KL73" i="66"/>
  <c r="KK73" i="66"/>
  <c r="KJ73" i="66" s="1"/>
  <c r="KI73" i="66"/>
  <c r="KH73" i="66" s="1"/>
  <c r="KG73" i="66" s="1"/>
  <c r="KF73" i="66"/>
  <c r="KE73" i="66" s="1"/>
  <c r="KD73" i="66" s="1"/>
  <c r="KC73" i="66"/>
  <c r="KB73" i="66" s="1"/>
  <c r="KA73" i="66" s="1"/>
  <c r="JZ73" i="66"/>
  <c r="JY73" i="66" s="1"/>
  <c r="JX73" i="66"/>
  <c r="JW73" i="66"/>
  <c r="JV73" i="66" s="1"/>
  <c r="JU73" i="66" s="1"/>
  <c r="JT73" i="66"/>
  <c r="JS73" i="66" s="1"/>
  <c r="JR73" i="66" s="1"/>
  <c r="JQ73" i="66"/>
  <c r="JP73" i="66"/>
  <c r="JO73" i="66" s="1"/>
  <c r="JN73" i="66"/>
  <c r="JM73" i="66"/>
  <c r="JL73" i="66" s="1"/>
  <c r="HM73" i="66"/>
  <c r="HK73" i="66"/>
  <c r="HJ73" i="66"/>
  <c r="HH73" i="66"/>
  <c r="HC73" i="66"/>
  <c r="HA73" i="66"/>
  <c r="GZ73" i="66"/>
  <c r="GX73" i="66"/>
  <c r="FB73" i="66"/>
  <c r="LG72" i="66"/>
  <c r="LF72" i="66" s="1"/>
  <c r="LE72" i="66" s="1"/>
  <c r="LD72" i="66"/>
  <c r="LC72" i="66" s="1"/>
  <c r="LB72" i="66" s="1"/>
  <c r="LA72" i="66"/>
  <c r="KZ72" i="66" s="1"/>
  <c r="KY72" i="66" s="1"/>
  <c r="KX72" i="66"/>
  <c r="KW72" i="66" s="1"/>
  <c r="KV72" i="66" s="1"/>
  <c r="KU72" i="66"/>
  <c r="KT72" i="66" s="1"/>
  <c r="KS72" i="66" s="1"/>
  <c r="KR72" i="66"/>
  <c r="KQ72" i="66"/>
  <c r="KP72" i="66" s="1"/>
  <c r="KO72" i="66"/>
  <c r="KN72" i="66"/>
  <c r="KM72" i="66" s="1"/>
  <c r="KL72" i="66"/>
  <c r="KK72" i="66" s="1"/>
  <c r="KJ72" i="66" s="1"/>
  <c r="KI72" i="66"/>
  <c r="KH72" i="66" s="1"/>
  <c r="KG72" i="66" s="1"/>
  <c r="KF72" i="66"/>
  <c r="KE72" i="66" s="1"/>
  <c r="KD72" i="66" s="1"/>
  <c r="KC72" i="66"/>
  <c r="KB72" i="66" s="1"/>
  <c r="KA72" i="66" s="1"/>
  <c r="JZ72" i="66"/>
  <c r="JY72" i="66" s="1"/>
  <c r="JX72" i="66" s="1"/>
  <c r="JW72" i="66"/>
  <c r="JV72" i="66" s="1"/>
  <c r="JU72" i="66" s="1"/>
  <c r="JT72" i="66"/>
  <c r="JS72" i="66"/>
  <c r="JR72" i="66" s="1"/>
  <c r="JQ72" i="66"/>
  <c r="JP72" i="66"/>
  <c r="JO72" i="66" s="1"/>
  <c r="JN72" i="66"/>
  <c r="JM72" i="66" s="1"/>
  <c r="JL72" i="66" s="1"/>
  <c r="HM72" i="66"/>
  <c r="HK72" i="66"/>
  <c r="HJ72" i="66"/>
  <c r="HH72" i="66"/>
  <c r="HC72" i="66"/>
  <c r="HA72" i="66"/>
  <c r="GZ72" i="66"/>
  <c r="GX72" i="66"/>
  <c r="FB72" i="66"/>
  <c r="LG71" i="66"/>
  <c r="LF71" i="66" s="1"/>
  <c r="LE71" i="66" s="1"/>
  <c r="LD71" i="66"/>
  <c r="LC71" i="66" s="1"/>
  <c r="LB71" i="66" s="1"/>
  <c r="LA71" i="66"/>
  <c r="KZ71" i="66" s="1"/>
  <c r="KY71" i="66" s="1"/>
  <c r="KX71" i="66"/>
  <c r="KW71" i="66" s="1"/>
  <c r="KV71" i="66" s="1"/>
  <c r="KU71" i="66"/>
  <c r="KT71" i="66"/>
  <c r="KS71" i="66" s="1"/>
  <c r="KR71" i="66"/>
  <c r="KQ71" i="66"/>
  <c r="KP71" i="66" s="1"/>
  <c r="KO71" i="66"/>
  <c r="KN71" i="66" s="1"/>
  <c r="KM71" i="66" s="1"/>
  <c r="KL71" i="66"/>
  <c r="KK71" i="66" s="1"/>
  <c r="KJ71" i="66" s="1"/>
  <c r="KI71" i="66"/>
  <c r="KH71" i="66" s="1"/>
  <c r="KG71" i="66" s="1"/>
  <c r="KF71" i="66"/>
  <c r="KE71" i="66" s="1"/>
  <c r="KD71" i="66" s="1"/>
  <c r="KC71" i="66"/>
  <c r="KB71" i="66" s="1"/>
  <c r="KA71" i="66" s="1"/>
  <c r="JZ71" i="66"/>
  <c r="JY71" i="66" s="1"/>
  <c r="JX71" i="66" s="1"/>
  <c r="JW71" i="66"/>
  <c r="JV71" i="66" s="1"/>
  <c r="JU71" i="66" s="1"/>
  <c r="JT71" i="66"/>
  <c r="JS71" i="66"/>
  <c r="JR71" i="66" s="1"/>
  <c r="JQ71" i="66"/>
  <c r="JP71" i="66" s="1"/>
  <c r="JO71" i="66" s="1"/>
  <c r="JN71" i="66"/>
  <c r="JM71" i="66" s="1"/>
  <c r="JL71" i="66" s="1"/>
  <c r="HM71" i="66"/>
  <c r="HK71" i="66"/>
  <c r="HJ71" i="66"/>
  <c r="HH71" i="66"/>
  <c r="HC71" i="66"/>
  <c r="HA71" i="66"/>
  <c r="GZ71" i="66"/>
  <c r="GX71" i="66"/>
  <c r="FB71" i="66"/>
  <c r="LG70" i="66"/>
  <c r="LF70" i="66"/>
  <c r="LE70" i="66" s="1"/>
  <c r="LD70" i="66"/>
  <c r="LC70" i="66" s="1"/>
  <c r="LB70" i="66" s="1"/>
  <c r="LA70" i="66"/>
  <c r="KZ70" i="66" s="1"/>
  <c r="KY70" i="66" s="1"/>
  <c r="KX70" i="66"/>
  <c r="KW70" i="66" s="1"/>
  <c r="KV70" i="66" s="1"/>
  <c r="KU70" i="66"/>
  <c r="KT70" i="66" s="1"/>
  <c r="KS70" i="66" s="1"/>
  <c r="KR70" i="66"/>
  <c r="KQ70" i="66" s="1"/>
  <c r="KP70" i="66" s="1"/>
  <c r="KO70" i="66"/>
  <c r="KN70" i="66" s="1"/>
  <c r="KM70" i="66" s="1"/>
  <c r="KL70" i="66"/>
  <c r="KK70" i="66" s="1"/>
  <c r="KJ70" i="66" s="1"/>
  <c r="KI70" i="66"/>
  <c r="KH70" i="66"/>
  <c r="KG70" i="66" s="1"/>
  <c r="KF70" i="66"/>
  <c r="KE70" i="66" s="1"/>
  <c r="KD70" i="66" s="1"/>
  <c r="KC70" i="66"/>
  <c r="KB70" i="66" s="1"/>
  <c r="KA70" i="66" s="1"/>
  <c r="JZ70" i="66"/>
  <c r="JY70" i="66" s="1"/>
  <c r="JX70" i="66" s="1"/>
  <c r="JW70" i="66"/>
  <c r="JV70" i="66" s="1"/>
  <c r="JU70" i="66" s="1"/>
  <c r="JT70" i="66"/>
  <c r="JS70" i="66" s="1"/>
  <c r="JR70" i="66" s="1"/>
  <c r="JQ70" i="66"/>
  <c r="JP70" i="66" s="1"/>
  <c r="JO70" i="66" s="1"/>
  <c r="JN70" i="66"/>
  <c r="JM70" i="66"/>
  <c r="JL70" i="66" s="1"/>
  <c r="HM70" i="66"/>
  <c r="HK70" i="66"/>
  <c r="HJ70" i="66"/>
  <c r="HH70" i="66"/>
  <c r="HC70" i="66"/>
  <c r="HA70" i="66"/>
  <c r="GZ70" i="66"/>
  <c r="GX70" i="66"/>
  <c r="FB70" i="66"/>
  <c r="LG69" i="66"/>
  <c r="LF69" i="66" s="1"/>
  <c r="LE69" i="66" s="1"/>
  <c r="LD69" i="66"/>
  <c r="LC69" i="66" s="1"/>
  <c r="LB69" i="66" s="1"/>
  <c r="LA69" i="66"/>
  <c r="KZ69" i="66" s="1"/>
  <c r="KY69" i="66" s="1"/>
  <c r="KX69" i="66"/>
  <c r="KW69" i="66" s="1"/>
  <c r="KV69" i="66" s="1"/>
  <c r="KU69" i="66"/>
  <c r="KT69" i="66" s="1"/>
  <c r="KS69" i="66" s="1"/>
  <c r="KR69" i="66"/>
  <c r="KQ69" i="66" s="1"/>
  <c r="KP69" i="66" s="1"/>
  <c r="KO69" i="66"/>
  <c r="KN69" i="66"/>
  <c r="KM69" i="66" s="1"/>
  <c r="KL69" i="66"/>
  <c r="KK69" i="66"/>
  <c r="KJ69" i="66" s="1"/>
  <c r="KI69" i="66"/>
  <c r="KH69" i="66" s="1"/>
  <c r="KG69" i="66" s="1"/>
  <c r="KF69" i="66"/>
  <c r="KE69" i="66" s="1"/>
  <c r="KD69" i="66" s="1"/>
  <c r="KC69" i="66"/>
  <c r="KB69" i="66" s="1"/>
  <c r="KA69" i="66" s="1"/>
  <c r="JZ69" i="66"/>
  <c r="JY69" i="66" s="1"/>
  <c r="JX69" i="66"/>
  <c r="JW69" i="66"/>
  <c r="JV69" i="66" s="1"/>
  <c r="JU69" i="66" s="1"/>
  <c r="JT69" i="66"/>
  <c r="JS69" i="66" s="1"/>
  <c r="JR69" i="66" s="1"/>
  <c r="JQ69" i="66"/>
  <c r="JP69" i="66"/>
  <c r="JO69" i="66" s="1"/>
  <c r="JN69" i="66"/>
  <c r="JM69" i="66" s="1"/>
  <c r="JL69" i="66" s="1"/>
  <c r="HM69" i="66"/>
  <c r="HK69" i="66"/>
  <c r="HJ69" i="66"/>
  <c r="HH69" i="66"/>
  <c r="HC69" i="66"/>
  <c r="HA69" i="66"/>
  <c r="GZ69" i="66"/>
  <c r="GX69" i="66"/>
  <c r="FB69" i="66"/>
  <c r="LG68" i="66"/>
  <c r="LF68" i="66" s="1"/>
  <c r="LE68" i="66" s="1"/>
  <c r="LD68" i="66"/>
  <c r="LC68" i="66" s="1"/>
  <c r="LB68" i="66" s="1"/>
  <c r="LA68" i="66"/>
  <c r="KZ68" i="66" s="1"/>
  <c r="KY68" i="66" s="1"/>
  <c r="KX68" i="66"/>
  <c r="KW68" i="66" s="1"/>
  <c r="KV68" i="66" s="1"/>
  <c r="KU68" i="66"/>
  <c r="KT68" i="66" s="1"/>
  <c r="KS68" i="66" s="1"/>
  <c r="KR68" i="66"/>
  <c r="KQ68" i="66" s="1"/>
  <c r="KP68" i="66" s="1"/>
  <c r="KO68" i="66"/>
  <c r="KN68" i="66"/>
  <c r="KM68" i="66" s="1"/>
  <c r="KL68" i="66"/>
  <c r="KK68" i="66" s="1"/>
  <c r="KJ68" i="66" s="1"/>
  <c r="KI68" i="66"/>
  <c r="KH68" i="66" s="1"/>
  <c r="KG68" i="66" s="1"/>
  <c r="KF68" i="66"/>
  <c r="KE68" i="66" s="1"/>
  <c r="KD68" i="66" s="1"/>
  <c r="KC68" i="66"/>
  <c r="KB68" i="66" s="1"/>
  <c r="KA68" i="66"/>
  <c r="JZ68" i="66"/>
  <c r="JY68" i="66" s="1"/>
  <c r="JX68" i="66" s="1"/>
  <c r="JW68" i="66"/>
  <c r="JV68" i="66" s="1"/>
  <c r="JU68" i="66" s="1"/>
  <c r="JT68" i="66"/>
  <c r="JS68" i="66"/>
  <c r="JR68" i="66" s="1"/>
  <c r="JQ68" i="66"/>
  <c r="JP68" i="66"/>
  <c r="JO68" i="66" s="1"/>
  <c r="JN68" i="66"/>
  <c r="JM68" i="66" s="1"/>
  <c r="JL68" i="66" s="1"/>
  <c r="HM68" i="66"/>
  <c r="HK68" i="66"/>
  <c r="HJ68" i="66"/>
  <c r="HH68" i="66"/>
  <c r="HC68" i="66"/>
  <c r="HA68" i="66"/>
  <c r="GZ68" i="66"/>
  <c r="GX68" i="66"/>
  <c r="FB68" i="66"/>
  <c r="LG67" i="66"/>
  <c r="LF67" i="66" s="1"/>
  <c r="LE67" i="66" s="1"/>
  <c r="LD67" i="66"/>
  <c r="LC67" i="66" s="1"/>
  <c r="LB67" i="66" s="1"/>
  <c r="LA67" i="66"/>
  <c r="KZ67" i="66" s="1"/>
  <c r="KY67" i="66" s="1"/>
  <c r="KX67" i="66"/>
  <c r="KW67" i="66" s="1"/>
  <c r="KV67" i="66" s="1"/>
  <c r="KU67" i="66"/>
  <c r="KT67" i="66"/>
  <c r="KS67" i="66" s="1"/>
  <c r="KR67" i="66"/>
  <c r="KQ67" i="66"/>
  <c r="KP67" i="66" s="1"/>
  <c r="KO67" i="66"/>
  <c r="KN67" i="66" s="1"/>
  <c r="KM67" i="66" s="1"/>
  <c r="KL67" i="66"/>
  <c r="KK67" i="66" s="1"/>
  <c r="KJ67" i="66" s="1"/>
  <c r="KI67" i="66"/>
  <c r="KH67" i="66" s="1"/>
  <c r="KG67" i="66" s="1"/>
  <c r="KF67" i="66"/>
  <c r="KE67" i="66" s="1"/>
  <c r="KD67" i="66" s="1"/>
  <c r="KC67" i="66"/>
  <c r="KB67" i="66" s="1"/>
  <c r="KA67" i="66" s="1"/>
  <c r="JZ67" i="66"/>
  <c r="JY67" i="66" s="1"/>
  <c r="JX67" i="66" s="1"/>
  <c r="JW67" i="66"/>
  <c r="JV67" i="66" s="1"/>
  <c r="JU67" i="66" s="1"/>
  <c r="JT67" i="66"/>
  <c r="JS67" i="66"/>
  <c r="JR67" i="66" s="1"/>
  <c r="JQ67" i="66"/>
  <c r="JP67" i="66" s="1"/>
  <c r="JO67" i="66" s="1"/>
  <c r="JN67" i="66"/>
  <c r="JM67" i="66" s="1"/>
  <c r="JL67" i="66" s="1"/>
  <c r="HM67" i="66"/>
  <c r="HK67" i="66"/>
  <c r="HJ67" i="66"/>
  <c r="HH67" i="66"/>
  <c r="HC67" i="66"/>
  <c r="HA67" i="66"/>
  <c r="GZ67" i="66"/>
  <c r="GX67" i="66"/>
  <c r="FB67" i="66"/>
  <c r="LG66" i="66"/>
  <c r="LF66" i="66"/>
  <c r="LE66" i="66" s="1"/>
  <c r="LD66" i="66"/>
  <c r="LC66" i="66" s="1"/>
  <c r="LB66" i="66" s="1"/>
  <c r="LA66" i="66"/>
  <c r="KZ66" i="66" s="1"/>
  <c r="KY66" i="66" s="1"/>
  <c r="KX66" i="66"/>
  <c r="KW66" i="66" s="1"/>
  <c r="KV66" i="66" s="1"/>
  <c r="KU66" i="66"/>
  <c r="KT66" i="66" s="1"/>
  <c r="KS66" i="66" s="1"/>
  <c r="KR66" i="66"/>
  <c r="KQ66" i="66" s="1"/>
  <c r="KP66" i="66" s="1"/>
  <c r="KO66" i="66"/>
  <c r="KN66" i="66" s="1"/>
  <c r="KM66" i="66" s="1"/>
  <c r="KL66" i="66"/>
  <c r="KK66" i="66" s="1"/>
  <c r="KJ66" i="66" s="1"/>
  <c r="KI66" i="66"/>
  <c r="KH66" i="66"/>
  <c r="KG66" i="66" s="1"/>
  <c r="KF66" i="66"/>
  <c r="KE66" i="66" s="1"/>
  <c r="KD66" i="66" s="1"/>
  <c r="KC66" i="66"/>
  <c r="KB66" i="66" s="1"/>
  <c r="KA66" i="66" s="1"/>
  <c r="JZ66" i="66"/>
  <c r="JY66" i="66" s="1"/>
  <c r="JX66" i="66" s="1"/>
  <c r="JW66" i="66"/>
  <c r="JV66" i="66" s="1"/>
  <c r="JU66" i="66" s="1"/>
  <c r="JT66" i="66"/>
  <c r="JS66" i="66" s="1"/>
  <c r="JR66" i="66" s="1"/>
  <c r="JQ66" i="66"/>
  <c r="JP66" i="66" s="1"/>
  <c r="JO66" i="66" s="1"/>
  <c r="JN66" i="66"/>
  <c r="JM66" i="66"/>
  <c r="JL66" i="66" s="1"/>
  <c r="HM66" i="66"/>
  <c r="HK66" i="66"/>
  <c r="HJ66" i="66"/>
  <c r="HH66" i="66"/>
  <c r="HC66" i="66"/>
  <c r="HA66" i="66"/>
  <c r="GZ66" i="66"/>
  <c r="GX66" i="66"/>
  <c r="FB66" i="66"/>
  <c r="LG65" i="66"/>
  <c r="LF65" i="66" s="1"/>
  <c r="LE65" i="66" s="1"/>
  <c r="LD65" i="66"/>
  <c r="LC65" i="66" s="1"/>
  <c r="LB65" i="66" s="1"/>
  <c r="LA65" i="66"/>
  <c r="KZ65" i="66" s="1"/>
  <c r="KY65" i="66" s="1"/>
  <c r="KX65" i="66"/>
  <c r="KW65" i="66" s="1"/>
  <c r="KV65" i="66" s="1"/>
  <c r="KU65" i="66"/>
  <c r="KT65" i="66"/>
  <c r="KS65" i="66" s="1"/>
  <c r="KR65" i="66"/>
  <c r="KQ65" i="66"/>
  <c r="KP65" i="66" s="1"/>
  <c r="KO65" i="66"/>
  <c r="KN65" i="66" s="1"/>
  <c r="KM65" i="66" s="1"/>
  <c r="KL65" i="66"/>
  <c r="KK65" i="66" s="1"/>
  <c r="KJ65" i="66" s="1"/>
  <c r="KI65" i="66"/>
  <c r="KH65" i="66" s="1"/>
  <c r="KG65" i="66" s="1"/>
  <c r="KF65" i="66"/>
  <c r="KE65" i="66" s="1"/>
  <c r="KD65" i="66" s="1"/>
  <c r="KC65" i="66"/>
  <c r="KB65" i="66" s="1"/>
  <c r="KA65" i="66" s="1"/>
  <c r="JZ65" i="66"/>
  <c r="JY65" i="66" s="1"/>
  <c r="JX65" i="66" s="1"/>
  <c r="JW65" i="66"/>
  <c r="JV65" i="66" s="1"/>
  <c r="JU65" i="66" s="1"/>
  <c r="JT65" i="66"/>
  <c r="JS65" i="66"/>
  <c r="JR65" i="66" s="1"/>
  <c r="JQ65" i="66"/>
  <c r="JP65" i="66" s="1"/>
  <c r="JO65" i="66" s="1"/>
  <c r="JN65" i="66"/>
  <c r="JM65" i="66" s="1"/>
  <c r="JL65" i="66" s="1"/>
  <c r="HM65" i="66"/>
  <c r="HK65" i="66"/>
  <c r="HJ65" i="66"/>
  <c r="HH65" i="66"/>
  <c r="HC65" i="66"/>
  <c r="HA65" i="66"/>
  <c r="GZ65" i="66"/>
  <c r="GX65" i="66"/>
  <c r="LG64" i="66"/>
  <c r="LF64" i="66" s="1"/>
  <c r="LE64" i="66" s="1"/>
  <c r="LD64" i="66"/>
  <c r="LC64" i="66" s="1"/>
  <c r="LB64" i="66" s="1"/>
  <c r="LA64" i="66"/>
  <c r="KZ64" i="66" s="1"/>
  <c r="KY64" i="66" s="1"/>
  <c r="KX64" i="66"/>
  <c r="KW64" i="66" s="1"/>
  <c r="KV64" i="66" s="1"/>
  <c r="KU64" i="66"/>
  <c r="KT64" i="66"/>
  <c r="KS64" i="66" s="1"/>
  <c r="KR64" i="66"/>
  <c r="KQ64" i="66" s="1"/>
  <c r="KP64" i="66" s="1"/>
  <c r="KO64" i="66"/>
  <c r="KN64" i="66" s="1"/>
  <c r="KM64" i="66" s="1"/>
  <c r="KL64" i="66"/>
  <c r="KK64" i="66" s="1"/>
  <c r="KJ64" i="66" s="1"/>
  <c r="KI64" i="66"/>
  <c r="KH64" i="66" s="1"/>
  <c r="KG64" i="66" s="1"/>
  <c r="KF64" i="66"/>
  <c r="KE64" i="66" s="1"/>
  <c r="KD64" i="66"/>
  <c r="KC64" i="66"/>
  <c r="KB64" i="66" s="1"/>
  <c r="KA64" i="66" s="1"/>
  <c r="JZ64" i="66"/>
  <c r="JY64" i="66" s="1"/>
  <c r="JX64" i="66" s="1"/>
  <c r="JW64" i="66"/>
  <c r="JV64" i="66"/>
  <c r="JU64" i="66" s="1"/>
  <c r="JT64" i="66"/>
  <c r="JS64" i="66"/>
  <c r="JR64" i="66" s="1"/>
  <c r="JQ64" i="66"/>
  <c r="JP64" i="66" s="1"/>
  <c r="JO64" i="66" s="1"/>
  <c r="JN64" i="66"/>
  <c r="JM64" i="66" s="1"/>
  <c r="JL64" i="66" s="1"/>
  <c r="HM64" i="66"/>
  <c r="HK64" i="66"/>
  <c r="HJ64" i="66"/>
  <c r="HH64" i="66"/>
  <c r="HC64" i="66"/>
  <c r="HA64" i="66"/>
  <c r="GZ64" i="66"/>
  <c r="GX64" i="66"/>
  <c r="DP64" i="66"/>
  <c r="DO64" i="66"/>
  <c r="DN64" i="66"/>
  <c r="DM64" i="66"/>
  <c r="DL64" i="66"/>
  <c r="DK64" i="66"/>
  <c r="DJ64" i="66"/>
  <c r="DI64" i="66"/>
  <c r="DH64" i="66"/>
  <c r="DG64" i="66"/>
  <c r="DF64" i="66"/>
  <c r="DE64" i="66"/>
  <c r="DD64" i="66"/>
  <c r="DC64" i="66"/>
  <c r="CZ64" i="66"/>
  <c r="CY64" i="66"/>
  <c r="CX64" i="66"/>
  <c r="CW64" i="66"/>
  <c r="CV64" i="66"/>
  <c r="LG63" i="66"/>
  <c r="LF63" i="66" s="1"/>
  <c r="LE63" i="66" s="1"/>
  <c r="LD63" i="66"/>
  <c r="LC63" i="66" s="1"/>
  <c r="LB63" i="66" s="1"/>
  <c r="LA63" i="66"/>
  <c r="KZ63" i="66" s="1"/>
  <c r="KY63" i="66" s="1"/>
  <c r="KX63" i="66"/>
  <c r="KW63" i="66"/>
  <c r="KV63" i="66" s="1"/>
  <c r="KU63" i="66"/>
  <c r="KT63" i="66" s="1"/>
  <c r="KS63" i="66" s="1"/>
  <c r="KR63" i="66"/>
  <c r="KQ63" i="66" s="1"/>
  <c r="KP63" i="66" s="1"/>
  <c r="KO63" i="66"/>
  <c r="KN63" i="66" s="1"/>
  <c r="KM63" i="66" s="1"/>
  <c r="KL63" i="66"/>
  <c r="KK63" i="66" s="1"/>
  <c r="KJ63" i="66"/>
  <c r="KI63" i="66"/>
  <c r="KH63" i="66" s="1"/>
  <c r="KG63" i="66" s="1"/>
  <c r="KF63" i="66"/>
  <c r="KE63" i="66" s="1"/>
  <c r="KD63" i="66" s="1"/>
  <c r="KC63" i="66"/>
  <c r="KB63" i="66"/>
  <c r="KA63" i="66" s="1"/>
  <c r="JZ63" i="66"/>
  <c r="JY63" i="66"/>
  <c r="JX63" i="66" s="1"/>
  <c r="JW63" i="66"/>
  <c r="JV63" i="66" s="1"/>
  <c r="JU63" i="66" s="1"/>
  <c r="JT63" i="66"/>
  <c r="JS63" i="66" s="1"/>
  <c r="JR63" i="66" s="1"/>
  <c r="JQ63" i="66"/>
  <c r="JP63" i="66" s="1"/>
  <c r="JO63" i="66" s="1"/>
  <c r="JN63" i="66"/>
  <c r="JM63" i="66" s="1"/>
  <c r="JL63" i="66" s="1"/>
  <c r="HM63" i="66"/>
  <c r="HK63" i="66"/>
  <c r="HJ63" i="66"/>
  <c r="HH63" i="66"/>
  <c r="HC63" i="66"/>
  <c r="HA63" i="66"/>
  <c r="GZ63" i="66"/>
  <c r="GX63" i="66"/>
  <c r="DP63" i="66"/>
  <c r="DO63" i="66"/>
  <c r="DN63" i="66"/>
  <c r="DM63" i="66"/>
  <c r="DL63" i="66"/>
  <c r="DK63" i="66"/>
  <c r="DJ63" i="66"/>
  <c r="DI63" i="66"/>
  <c r="DH63" i="66"/>
  <c r="DG63" i="66"/>
  <c r="DF63" i="66"/>
  <c r="DE63" i="66"/>
  <c r="DD63" i="66"/>
  <c r="DC63" i="66"/>
  <c r="CZ63" i="66"/>
  <c r="CY63" i="66"/>
  <c r="CX63" i="66"/>
  <c r="CW63" i="66"/>
  <c r="CV63" i="66"/>
  <c r="LG62" i="66"/>
  <c r="LF62" i="66" s="1"/>
  <c r="LE62" i="66" s="1"/>
  <c r="LD62" i="66"/>
  <c r="LC62" i="66" s="1"/>
  <c r="LB62" i="66" s="1"/>
  <c r="LA62" i="66"/>
  <c r="KZ62" i="66" s="1"/>
  <c r="KY62" i="66"/>
  <c r="KX62" i="66"/>
  <c r="KW62" i="66"/>
  <c r="KV62" i="66" s="1"/>
  <c r="KU62" i="66"/>
  <c r="KT62" i="66"/>
  <c r="KS62" i="66" s="1"/>
  <c r="KR62" i="66"/>
  <c r="KQ62" i="66" s="1"/>
  <c r="KP62" i="66"/>
  <c r="KO62" i="66"/>
  <c r="KN62" i="66" s="1"/>
  <c r="KM62" i="66"/>
  <c r="KL62" i="66"/>
  <c r="KK62" i="66"/>
  <c r="KJ62" i="66" s="1"/>
  <c r="KI62" i="66"/>
  <c r="KH62" i="66"/>
  <c r="KG62" i="66" s="1"/>
  <c r="KF62" i="66"/>
  <c r="KE62" i="66"/>
  <c r="KD62" i="66" s="1"/>
  <c r="KC62" i="66"/>
  <c r="KB62" i="66" s="1"/>
  <c r="KA62" i="66" s="1"/>
  <c r="JZ62" i="66"/>
  <c r="JY62" i="66" s="1"/>
  <c r="JX62" i="66" s="1"/>
  <c r="JW62" i="66"/>
  <c r="JV62" i="66" s="1"/>
  <c r="JU62" i="66"/>
  <c r="JT62" i="66"/>
  <c r="JS62" i="66"/>
  <c r="JR62" i="66" s="1"/>
  <c r="JQ62" i="66"/>
  <c r="JP62" i="66" s="1"/>
  <c r="JO62" i="66" s="1"/>
  <c r="JN62" i="66"/>
  <c r="JM62" i="66" s="1"/>
  <c r="JL62" i="66" s="1"/>
  <c r="HM62" i="66"/>
  <c r="HK62" i="66"/>
  <c r="HJ62" i="66"/>
  <c r="HH62" i="66"/>
  <c r="HC62" i="66"/>
  <c r="HA62" i="66"/>
  <c r="GZ62" i="66"/>
  <c r="GX62" i="66"/>
  <c r="FG62" i="66"/>
  <c r="DM62" i="66"/>
  <c r="CW62" i="66"/>
  <c r="CV62" i="66"/>
  <c r="LG61" i="66"/>
  <c r="LF61" i="66" s="1"/>
  <c r="LE61" i="66" s="1"/>
  <c r="LD61" i="66"/>
  <c r="LC61" i="66"/>
  <c r="LB61" i="66" s="1"/>
  <c r="LA61" i="66"/>
  <c r="KZ61" i="66" s="1"/>
  <c r="KY61" i="66" s="1"/>
  <c r="KX61" i="66"/>
  <c r="KW61" i="66"/>
  <c r="KV61" i="66" s="1"/>
  <c r="KU61" i="66"/>
  <c r="KT61" i="66" s="1"/>
  <c r="KS61" i="66" s="1"/>
  <c r="KR61" i="66"/>
  <c r="KQ61" i="66" s="1"/>
  <c r="KP61" i="66" s="1"/>
  <c r="KO61" i="66"/>
  <c r="KN61" i="66" s="1"/>
  <c r="KM61" i="66" s="1"/>
  <c r="KL61" i="66"/>
  <c r="KK61" i="66" s="1"/>
  <c r="KJ61" i="66" s="1"/>
  <c r="KI61" i="66"/>
  <c r="KH61" i="66"/>
  <c r="KG61" i="66" s="1"/>
  <c r="KF61" i="66"/>
  <c r="KE61" i="66" s="1"/>
  <c r="KD61" i="66"/>
  <c r="KC61" i="66"/>
  <c r="KB61" i="66" s="1"/>
  <c r="KA61" i="66" s="1"/>
  <c r="JZ61" i="66"/>
  <c r="JY61" i="66" s="1"/>
  <c r="JX61" i="66" s="1"/>
  <c r="JW61" i="66"/>
  <c r="JV61" i="66" s="1"/>
  <c r="JU61" i="66" s="1"/>
  <c r="JT61" i="66"/>
  <c r="JS61" i="66"/>
  <c r="JR61" i="66" s="1"/>
  <c r="JQ61" i="66"/>
  <c r="JP61" i="66" s="1"/>
  <c r="JO61" i="66" s="1"/>
  <c r="JN61" i="66"/>
  <c r="JM61" i="66" s="1"/>
  <c r="JL61" i="66" s="1"/>
  <c r="HM61" i="66"/>
  <c r="HK61" i="66"/>
  <c r="HJ61" i="66"/>
  <c r="HH61" i="66"/>
  <c r="HC61" i="66"/>
  <c r="HA61" i="66"/>
  <c r="GZ61" i="66"/>
  <c r="GX61" i="66"/>
  <c r="FG61" i="66"/>
  <c r="DM61" i="66"/>
  <c r="CW61" i="66"/>
  <c r="CV61" i="66"/>
  <c r="LG60" i="66"/>
  <c r="LF60" i="66" s="1"/>
  <c r="LE60" i="66"/>
  <c r="LD60" i="66"/>
  <c r="LC60" i="66" s="1"/>
  <c r="LB60" i="66" s="1"/>
  <c r="LA60" i="66"/>
  <c r="KZ60" i="66" s="1"/>
  <c r="KY60" i="66" s="1"/>
  <c r="KX60" i="66"/>
  <c r="KW60" i="66" s="1"/>
  <c r="KV60" i="66" s="1"/>
  <c r="KU60" i="66"/>
  <c r="KT60" i="66" s="1"/>
  <c r="KS60" i="66" s="1"/>
  <c r="KR60" i="66"/>
  <c r="KQ60" i="66" s="1"/>
  <c r="KP60" i="66" s="1"/>
  <c r="KO60" i="66"/>
  <c r="KN60" i="66"/>
  <c r="KM60" i="66" s="1"/>
  <c r="KL60" i="66"/>
  <c r="KK60" i="66"/>
  <c r="KJ60" i="66" s="1"/>
  <c r="KI60" i="66"/>
  <c r="KH60" i="66" s="1"/>
  <c r="KG60" i="66" s="1"/>
  <c r="KF60" i="66"/>
  <c r="KE60" i="66" s="1"/>
  <c r="KD60" i="66" s="1"/>
  <c r="KC60" i="66"/>
  <c r="KB60" i="66" s="1"/>
  <c r="KA60" i="66" s="1"/>
  <c r="JZ60" i="66"/>
  <c r="JY60" i="66" s="1"/>
  <c r="JX60" i="66" s="1"/>
  <c r="JW60" i="66"/>
  <c r="JV60" i="66"/>
  <c r="JU60" i="66" s="1"/>
  <c r="JT60" i="66"/>
  <c r="JS60" i="66" s="1"/>
  <c r="JR60" i="66" s="1"/>
  <c r="JQ60" i="66"/>
  <c r="JP60" i="66"/>
  <c r="JO60" i="66" s="1"/>
  <c r="JN60" i="66"/>
  <c r="JM60" i="66" s="1"/>
  <c r="JL60" i="66" s="1"/>
  <c r="HM60" i="66"/>
  <c r="HK60" i="66"/>
  <c r="HJ60" i="66"/>
  <c r="HH60" i="66"/>
  <c r="HC60" i="66"/>
  <c r="HA60" i="66"/>
  <c r="GZ60" i="66"/>
  <c r="GX60" i="66"/>
  <c r="FG60" i="66"/>
  <c r="DM60" i="66"/>
  <c r="CW60" i="66"/>
  <c r="CV60" i="66"/>
  <c r="LG59" i="66"/>
  <c r="LF59" i="66" s="1"/>
  <c r="LE59" i="66"/>
  <c r="LD59" i="66"/>
  <c r="LC59" i="66" s="1"/>
  <c r="LB59" i="66" s="1"/>
  <c r="LA59" i="66"/>
  <c r="KZ59" i="66" s="1"/>
  <c r="KY59" i="66" s="1"/>
  <c r="KX59" i="66"/>
  <c r="KW59" i="66" s="1"/>
  <c r="KV59" i="66" s="1"/>
  <c r="KU59" i="66"/>
  <c r="KT59" i="66"/>
  <c r="KS59" i="66" s="1"/>
  <c r="KR59" i="66"/>
  <c r="KQ59" i="66" s="1"/>
  <c r="KP59" i="66" s="1"/>
  <c r="KO59" i="66"/>
  <c r="KN59" i="66"/>
  <c r="KM59" i="66" s="1"/>
  <c r="KL59" i="66"/>
  <c r="KK59" i="66" s="1"/>
  <c r="KJ59" i="66" s="1"/>
  <c r="KI59" i="66"/>
  <c r="KH59" i="66" s="1"/>
  <c r="KG59" i="66" s="1"/>
  <c r="KF59" i="66"/>
  <c r="KE59" i="66" s="1"/>
  <c r="KD59" i="66" s="1"/>
  <c r="KC59" i="66"/>
  <c r="KB59" i="66" s="1"/>
  <c r="KA59" i="66" s="1"/>
  <c r="JZ59" i="66"/>
  <c r="JY59" i="66" s="1"/>
  <c r="JX59" i="66" s="1"/>
  <c r="JW59" i="66"/>
  <c r="JV59" i="66"/>
  <c r="JU59" i="66" s="1"/>
  <c r="JT59" i="66"/>
  <c r="JS59" i="66" s="1"/>
  <c r="JR59" i="66" s="1"/>
  <c r="JQ59" i="66"/>
  <c r="JP59" i="66"/>
  <c r="JO59" i="66" s="1"/>
  <c r="JN59" i="66"/>
  <c r="JM59" i="66"/>
  <c r="JL59" i="66" s="1"/>
  <c r="HM59" i="66"/>
  <c r="HK59" i="66"/>
  <c r="HJ59" i="66"/>
  <c r="HH59" i="66"/>
  <c r="HC59" i="66"/>
  <c r="HA59" i="66"/>
  <c r="GZ59" i="66"/>
  <c r="GX59" i="66"/>
  <c r="FG59" i="66"/>
  <c r="DM59" i="66"/>
  <c r="CW59" i="66"/>
  <c r="CV59" i="66"/>
  <c r="LG58" i="66"/>
  <c r="LF58" i="66" s="1"/>
  <c r="LE58" i="66"/>
  <c r="LD58" i="66"/>
  <c r="LC58" i="66" s="1"/>
  <c r="LB58" i="66" s="1"/>
  <c r="LA58" i="66"/>
  <c r="KZ58" i="66" s="1"/>
  <c r="KY58" i="66" s="1"/>
  <c r="KX58" i="66"/>
  <c r="KW58" i="66" s="1"/>
  <c r="KV58" i="66" s="1"/>
  <c r="KU58" i="66"/>
  <c r="KT58" i="66"/>
  <c r="KS58" i="66" s="1"/>
  <c r="KR58" i="66"/>
  <c r="KQ58" i="66" s="1"/>
  <c r="KP58" i="66" s="1"/>
  <c r="KO58" i="66"/>
  <c r="KN58" i="66"/>
  <c r="KM58" i="66" s="1"/>
  <c r="KL58" i="66"/>
  <c r="KK58" i="66"/>
  <c r="KJ58" i="66" s="1"/>
  <c r="KI58" i="66"/>
  <c r="KH58" i="66" s="1"/>
  <c r="KG58" i="66" s="1"/>
  <c r="KF58" i="66"/>
  <c r="KE58" i="66" s="1"/>
  <c r="KD58" i="66" s="1"/>
  <c r="KC58" i="66"/>
  <c r="KB58" i="66" s="1"/>
  <c r="KA58" i="66" s="1"/>
  <c r="JZ58" i="66"/>
  <c r="JY58" i="66" s="1"/>
  <c r="JX58" i="66" s="1"/>
  <c r="JW58" i="66"/>
  <c r="JV58" i="66"/>
  <c r="JU58" i="66" s="1"/>
  <c r="JT58" i="66"/>
  <c r="JS58" i="66" s="1"/>
  <c r="JR58" i="66" s="1"/>
  <c r="JQ58" i="66"/>
  <c r="JP58" i="66" s="1"/>
  <c r="JO58" i="66" s="1"/>
  <c r="JN58" i="66"/>
  <c r="JM58" i="66"/>
  <c r="JL58" i="66" s="1"/>
  <c r="HM58" i="66"/>
  <c r="HK58" i="66"/>
  <c r="HJ58" i="66"/>
  <c r="HH58" i="66"/>
  <c r="HC58" i="66"/>
  <c r="HA58" i="66"/>
  <c r="GZ58" i="66"/>
  <c r="GX58" i="66"/>
  <c r="FG58" i="66"/>
  <c r="FG40" i="66" s="1"/>
  <c r="LG57" i="66"/>
  <c r="LF57" i="66"/>
  <c r="LE57" i="66" s="1"/>
  <c r="LD57" i="66"/>
  <c r="LC57" i="66" s="1"/>
  <c r="LB57" i="66" s="1"/>
  <c r="LA57" i="66"/>
  <c r="KZ57" i="66" s="1"/>
  <c r="KY57" i="66" s="1"/>
  <c r="KX57" i="66"/>
  <c r="KW57" i="66"/>
  <c r="KV57" i="66" s="1"/>
  <c r="KU57" i="66"/>
  <c r="KT57" i="66" s="1"/>
  <c r="KS57" i="66" s="1"/>
  <c r="KR57" i="66"/>
  <c r="KQ57" i="66" s="1"/>
  <c r="KP57" i="66" s="1"/>
  <c r="KO57" i="66"/>
  <c r="KN57" i="66" s="1"/>
  <c r="KM57" i="66" s="1"/>
  <c r="KL57" i="66"/>
  <c r="KK57" i="66" s="1"/>
  <c r="KJ57" i="66" s="1"/>
  <c r="KI57" i="66"/>
  <c r="KH57" i="66" s="1"/>
  <c r="KG57" i="66" s="1"/>
  <c r="KF57" i="66"/>
  <c r="KE57" i="66" s="1"/>
  <c r="KD57" i="66" s="1"/>
  <c r="KC57" i="66"/>
  <c r="KB57" i="66"/>
  <c r="KA57" i="66" s="1"/>
  <c r="JZ57" i="66"/>
  <c r="JY57" i="66"/>
  <c r="JX57" i="66" s="1"/>
  <c r="JW57" i="66"/>
  <c r="JV57" i="66" s="1"/>
  <c r="JU57" i="66"/>
  <c r="JT57" i="66"/>
  <c r="JS57" i="66" s="1"/>
  <c r="JR57" i="66" s="1"/>
  <c r="JQ57" i="66"/>
  <c r="JP57" i="66" s="1"/>
  <c r="JO57" i="66" s="1"/>
  <c r="JN57" i="66"/>
  <c r="JM57" i="66" s="1"/>
  <c r="JL57" i="66" s="1"/>
  <c r="HM57" i="66"/>
  <c r="HK57" i="66"/>
  <c r="HJ57" i="66"/>
  <c r="HH57" i="66"/>
  <c r="HC57" i="66"/>
  <c r="HA57" i="66"/>
  <c r="GZ57" i="66"/>
  <c r="GX57" i="66"/>
  <c r="FG57" i="66"/>
  <c r="FG39" i="66" s="1"/>
  <c r="DM57" i="66"/>
  <c r="CW57" i="66"/>
  <c r="CV57" i="66"/>
  <c r="LG56" i="66"/>
  <c r="LF56" i="66" s="1"/>
  <c r="LE56" i="66" s="1"/>
  <c r="LD56" i="66"/>
  <c r="LC56" i="66" s="1"/>
  <c r="LB56" i="66" s="1"/>
  <c r="LA56" i="66"/>
  <c r="KZ56" i="66"/>
  <c r="KY56" i="66" s="1"/>
  <c r="KX56" i="66"/>
  <c r="KW56" i="66"/>
  <c r="KV56" i="66" s="1"/>
  <c r="KU56" i="66"/>
  <c r="KT56" i="66"/>
  <c r="KS56" i="66" s="1"/>
  <c r="KR56" i="66"/>
  <c r="KQ56" i="66" s="1"/>
  <c r="KP56" i="66" s="1"/>
  <c r="KO56" i="66"/>
  <c r="KN56" i="66" s="1"/>
  <c r="KM56" i="66" s="1"/>
  <c r="KL56" i="66"/>
  <c r="KK56" i="66" s="1"/>
  <c r="KJ56" i="66" s="1"/>
  <c r="KI56" i="66"/>
  <c r="KH56" i="66" s="1"/>
  <c r="KG56" i="66" s="1"/>
  <c r="KF56" i="66"/>
  <c r="KE56" i="66" s="1"/>
  <c r="KD56" i="66" s="1"/>
  <c r="KC56" i="66"/>
  <c r="KB56" i="66" s="1"/>
  <c r="KA56" i="66" s="1"/>
  <c r="JZ56" i="66"/>
  <c r="JY56" i="66" s="1"/>
  <c r="JX56" i="66" s="1"/>
  <c r="JW56" i="66"/>
  <c r="JV56" i="66" s="1"/>
  <c r="JU56" i="66" s="1"/>
  <c r="JT56" i="66"/>
  <c r="JS56" i="66" s="1"/>
  <c r="JR56" i="66" s="1"/>
  <c r="JQ56" i="66"/>
  <c r="JP56" i="66" s="1"/>
  <c r="JO56" i="66" s="1"/>
  <c r="JN56" i="66"/>
  <c r="JM56" i="66" s="1"/>
  <c r="JL56" i="66" s="1"/>
  <c r="HM56" i="66"/>
  <c r="HK56" i="66"/>
  <c r="HJ56" i="66"/>
  <c r="HH56" i="66"/>
  <c r="HC56" i="66"/>
  <c r="HA56" i="66"/>
  <c r="GZ56" i="66"/>
  <c r="GX56" i="66"/>
  <c r="FG56" i="66"/>
  <c r="DM56" i="66"/>
  <c r="CW56" i="66"/>
  <c r="CV56" i="66"/>
  <c r="LG55" i="66"/>
  <c r="LF55" i="66" s="1"/>
  <c r="LE55" i="66"/>
  <c r="LD55" i="66"/>
  <c r="LC55" i="66" s="1"/>
  <c r="LB55" i="66" s="1"/>
  <c r="LA55" i="66"/>
  <c r="KZ55" i="66" s="1"/>
  <c r="KY55" i="66" s="1"/>
  <c r="KX55" i="66"/>
  <c r="KW55" i="66"/>
  <c r="KV55" i="66" s="1"/>
  <c r="KU55" i="66"/>
  <c r="KT55" i="66" s="1"/>
  <c r="KS55" i="66" s="1"/>
  <c r="KR55" i="66"/>
  <c r="KQ55" i="66" s="1"/>
  <c r="KP55" i="66" s="1"/>
  <c r="KO55" i="66"/>
  <c r="KN55" i="66" s="1"/>
  <c r="KM55" i="66" s="1"/>
  <c r="KL55" i="66"/>
  <c r="KK55" i="66" s="1"/>
  <c r="KJ55" i="66" s="1"/>
  <c r="KI55" i="66"/>
  <c r="KH55" i="66" s="1"/>
  <c r="KG55" i="66" s="1"/>
  <c r="KF55" i="66"/>
  <c r="KE55" i="66" s="1"/>
  <c r="KD55" i="66" s="1"/>
  <c r="KC55" i="66"/>
  <c r="KB55" i="66" s="1"/>
  <c r="KA55" i="66" s="1"/>
  <c r="JZ55" i="66"/>
  <c r="JY55" i="66" s="1"/>
  <c r="JX55" i="66" s="1"/>
  <c r="JW55" i="66"/>
  <c r="JV55" i="66" s="1"/>
  <c r="JU55" i="66" s="1"/>
  <c r="JT55" i="66"/>
  <c r="JS55" i="66" s="1"/>
  <c r="JR55" i="66" s="1"/>
  <c r="JQ55" i="66"/>
  <c r="JP55" i="66" s="1"/>
  <c r="JO55" i="66" s="1"/>
  <c r="JN55" i="66"/>
  <c r="JM55" i="66" s="1"/>
  <c r="JL55" i="66" s="1"/>
  <c r="HM55" i="66"/>
  <c r="HK55" i="66"/>
  <c r="HJ55" i="66"/>
  <c r="HH55" i="66"/>
  <c r="HC55" i="66"/>
  <c r="HA55" i="66"/>
  <c r="GZ55" i="66"/>
  <c r="GX55" i="66"/>
  <c r="FG55" i="66"/>
  <c r="DM55" i="66"/>
  <c r="CW55" i="66"/>
  <c r="CV55" i="66"/>
  <c r="LG54" i="66"/>
  <c r="LF54" i="66" s="1"/>
  <c r="LE54" i="66"/>
  <c r="LD54" i="66"/>
  <c r="LC54" i="66" s="1"/>
  <c r="LB54" i="66" s="1"/>
  <c r="LA54" i="66"/>
  <c r="KZ54" i="66" s="1"/>
  <c r="KY54" i="66" s="1"/>
  <c r="KX54" i="66"/>
  <c r="KW54" i="66" s="1"/>
  <c r="KV54" i="66" s="1"/>
  <c r="KU54" i="66"/>
  <c r="KT54" i="66" s="1"/>
  <c r="KS54" i="66" s="1"/>
  <c r="KR54" i="66"/>
  <c r="KQ54" i="66" s="1"/>
  <c r="KP54" i="66" s="1"/>
  <c r="KO54" i="66"/>
  <c r="KN54" i="66" s="1"/>
  <c r="KM54" i="66" s="1"/>
  <c r="KL54" i="66"/>
  <c r="KK54" i="66"/>
  <c r="KJ54" i="66" s="1"/>
  <c r="KI54" i="66"/>
  <c r="KH54" i="66" s="1"/>
  <c r="KG54" i="66" s="1"/>
  <c r="KF54" i="66"/>
  <c r="KE54" i="66" s="1"/>
  <c r="KD54" i="66" s="1"/>
  <c r="KC54" i="66"/>
  <c r="KB54" i="66" s="1"/>
  <c r="KA54" i="66" s="1"/>
  <c r="JZ54" i="66"/>
  <c r="JY54" i="66" s="1"/>
  <c r="JX54" i="66" s="1"/>
  <c r="JW54" i="66"/>
  <c r="JV54" i="66" s="1"/>
  <c r="JU54" i="66" s="1"/>
  <c r="JT54" i="66"/>
  <c r="JS54" i="66" s="1"/>
  <c r="JR54" i="66" s="1"/>
  <c r="JQ54" i="66"/>
  <c r="JP54" i="66" s="1"/>
  <c r="JO54" i="66" s="1"/>
  <c r="JN54" i="66"/>
  <c r="JM54" i="66" s="1"/>
  <c r="JL54" i="66" s="1"/>
  <c r="HM54" i="66"/>
  <c r="HK54" i="66"/>
  <c r="HJ54" i="66"/>
  <c r="HH54" i="66"/>
  <c r="HC54" i="66"/>
  <c r="HA54" i="66"/>
  <c r="GZ54" i="66"/>
  <c r="GX54" i="66"/>
  <c r="FG54" i="66"/>
  <c r="DM54" i="66"/>
  <c r="CW54" i="66"/>
  <c r="CV54" i="66"/>
  <c r="LG53" i="66"/>
  <c r="LF53" i="66" s="1"/>
  <c r="LE53" i="66"/>
  <c r="LD53" i="66"/>
  <c r="LC53" i="66" s="1"/>
  <c r="LB53" i="66" s="1"/>
  <c r="LA53" i="66"/>
  <c r="KZ53" i="66" s="1"/>
  <c r="KY53" i="66" s="1"/>
  <c r="KX53" i="66"/>
  <c r="KW53" i="66"/>
  <c r="KV53" i="66" s="1"/>
  <c r="KU53" i="66"/>
  <c r="KT53" i="66" s="1"/>
  <c r="KS53" i="66" s="1"/>
  <c r="KR53" i="66"/>
  <c r="KQ53" i="66" s="1"/>
  <c r="KP53" i="66" s="1"/>
  <c r="KO53" i="66"/>
  <c r="KN53" i="66" s="1"/>
  <c r="KM53" i="66" s="1"/>
  <c r="KL53" i="66"/>
  <c r="KK53" i="66" s="1"/>
  <c r="KJ53" i="66" s="1"/>
  <c r="KI53" i="66"/>
  <c r="KH53" i="66" s="1"/>
  <c r="KG53" i="66" s="1"/>
  <c r="KF53" i="66"/>
  <c r="KE53" i="66" s="1"/>
  <c r="KD53" i="66" s="1"/>
  <c r="KC53" i="66"/>
  <c r="KB53" i="66" s="1"/>
  <c r="KA53" i="66" s="1"/>
  <c r="JZ53" i="66"/>
  <c r="JY53" i="66" s="1"/>
  <c r="JX53" i="66" s="1"/>
  <c r="JW53" i="66"/>
  <c r="JV53" i="66" s="1"/>
  <c r="JU53" i="66" s="1"/>
  <c r="JT53" i="66"/>
  <c r="JS53" i="66" s="1"/>
  <c r="JR53" i="66" s="1"/>
  <c r="JQ53" i="66"/>
  <c r="JP53" i="66" s="1"/>
  <c r="JO53" i="66" s="1"/>
  <c r="JN53" i="66"/>
  <c r="JM53" i="66" s="1"/>
  <c r="JL53" i="66" s="1"/>
  <c r="HM53" i="66"/>
  <c r="HK53" i="66"/>
  <c r="HJ53" i="66"/>
  <c r="HH53" i="66"/>
  <c r="HC53" i="66"/>
  <c r="HA53" i="66"/>
  <c r="GZ53" i="66"/>
  <c r="GX53" i="66"/>
  <c r="FG53" i="66"/>
  <c r="DM53" i="66"/>
  <c r="CW53" i="66"/>
  <c r="CV53" i="66"/>
  <c r="LG52" i="66"/>
  <c r="LF52" i="66" s="1"/>
  <c r="LE52" i="66"/>
  <c r="LD52" i="66"/>
  <c r="LC52" i="66" s="1"/>
  <c r="LB52" i="66" s="1"/>
  <c r="LA52" i="66"/>
  <c r="KZ52" i="66" s="1"/>
  <c r="KY52" i="66" s="1"/>
  <c r="KX52" i="66"/>
  <c r="KW52" i="66" s="1"/>
  <c r="KV52" i="66" s="1"/>
  <c r="KU52" i="66"/>
  <c r="KT52" i="66" s="1"/>
  <c r="KS52" i="66" s="1"/>
  <c r="KR52" i="66"/>
  <c r="KQ52" i="66" s="1"/>
  <c r="KP52" i="66" s="1"/>
  <c r="KO52" i="66"/>
  <c r="KN52" i="66" s="1"/>
  <c r="KM52" i="66" s="1"/>
  <c r="KL52" i="66"/>
  <c r="KK52" i="66"/>
  <c r="KJ52" i="66" s="1"/>
  <c r="KI52" i="66"/>
  <c r="KH52" i="66" s="1"/>
  <c r="KG52" i="66" s="1"/>
  <c r="KF52" i="66"/>
  <c r="KE52" i="66" s="1"/>
  <c r="KD52" i="66" s="1"/>
  <c r="KC52" i="66"/>
  <c r="KB52" i="66" s="1"/>
  <c r="KA52" i="66" s="1"/>
  <c r="JZ52" i="66"/>
  <c r="JY52" i="66" s="1"/>
  <c r="JX52" i="66" s="1"/>
  <c r="JW52" i="66"/>
  <c r="JV52" i="66" s="1"/>
  <c r="JU52" i="66" s="1"/>
  <c r="JT52" i="66"/>
  <c r="JS52" i="66" s="1"/>
  <c r="JR52" i="66" s="1"/>
  <c r="JQ52" i="66"/>
  <c r="JP52" i="66" s="1"/>
  <c r="JO52" i="66" s="1"/>
  <c r="JN52" i="66"/>
  <c r="JM52" i="66" s="1"/>
  <c r="JL52" i="66" s="1"/>
  <c r="HM52" i="66"/>
  <c r="HK52" i="66"/>
  <c r="HJ52" i="66"/>
  <c r="HH52" i="66"/>
  <c r="HC52" i="66"/>
  <c r="HA52" i="66"/>
  <c r="GZ52" i="66"/>
  <c r="GX52" i="66"/>
  <c r="FG52" i="66"/>
  <c r="DM52" i="66"/>
  <c r="CW52" i="66"/>
  <c r="CV52" i="66"/>
  <c r="LG51" i="66"/>
  <c r="LF51" i="66" s="1"/>
  <c r="LE51" i="66"/>
  <c r="LD51" i="66"/>
  <c r="LC51" i="66" s="1"/>
  <c r="LB51" i="66" s="1"/>
  <c r="LA51" i="66"/>
  <c r="KZ51" i="66" s="1"/>
  <c r="KY51" i="66" s="1"/>
  <c r="KX51" i="66"/>
  <c r="KW51" i="66"/>
  <c r="KV51" i="66" s="1"/>
  <c r="KU51" i="66"/>
  <c r="KT51" i="66" s="1"/>
  <c r="KS51" i="66" s="1"/>
  <c r="KR51" i="66"/>
  <c r="KQ51" i="66" s="1"/>
  <c r="KP51" i="66" s="1"/>
  <c r="KO51" i="66"/>
  <c r="KN51" i="66" s="1"/>
  <c r="KM51" i="66" s="1"/>
  <c r="KL51" i="66"/>
  <c r="KK51" i="66" s="1"/>
  <c r="KJ51" i="66" s="1"/>
  <c r="KI51" i="66"/>
  <c r="KH51" i="66" s="1"/>
  <c r="KG51" i="66" s="1"/>
  <c r="KF51" i="66"/>
  <c r="KE51" i="66" s="1"/>
  <c r="KD51" i="66" s="1"/>
  <c r="KC51" i="66"/>
  <c r="KB51" i="66" s="1"/>
  <c r="KA51" i="66" s="1"/>
  <c r="JZ51" i="66"/>
  <c r="JY51" i="66" s="1"/>
  <c r="JX51" i="66" s="1"/>
  <c r="JW51" i="66"/>
  <c r="JV51" i="66" s="1"/>
  <c r="JU51" i="66" s="1"/>
  <c r="JT51" i="66"/>
  <c r="JS51" i="66" s="1"/>
  <c r="JR51" i="66" s="1"/>
  <c r="JQ51" i="66"/>
  <c r="JP51" i="66" s="1"/>
  <c r="JO51" i="66" s="1"/>
  <c r="JN51" i="66"/>
  <c r="JM51" i="66" s="1"/>
  <c r="JL51" i="66" s="1"/>
  <c r="IH51" i="66"/>
  <c r="HY51" i="66"/>
  <c r="HX51" i="66"/>
  <c r="HO51" i="66"/>
  <c r="HN51" i="66"/>
  <c r="HM51" i="66"/>
  <c r="HK51" i="66"/>
  <c r="HJ51" i="66"/>
  <c r="HH51" i="66"/>
  <c r="HC51" i="66"/>
  <c r="HA51" i="66"/>
  <c r="GZ51" i="66"/>
  <c r="GX51" i="66"/>
  <c r="FG51" i="66"/>
  <c r="DM51" i="66"/>
  <c r="CW51" i="66"/>
  <c r="CV51" i="66"/>
  <c r="BS51" i="66"/>
  <c r="BU51" i="66" s="1"/>
  <c r="BN51" i="66"/>
  <c r="LG50" i="66"/>
  <c r="LF50" i="66" s="1"/>
  <c r="LE50" i="66" s="1"/>
  <c r="LD50" i="66"/>
  <c r="LC50" i="66"/>
  <c r="LB50" i="66" s="1"/>
  <c r="LA50" i="66"/>
  <c r="KZ50" i="66" s="1"/>
  <c r="KY50" i="66" s="1"/>
  <c r="KX50" i="66"/>
  <c r="KW50" i="66" s="1"/>
  <c r="KV50" i="66" s="1"/>
  <c r="KU50" i="66"/>
  <c r="KT50" i="66" s="1"/>
  <c r="KS50" i="66" s="1"/>
  <c r="KR50" i="66"/>
  <c r="KQ50" i="66" s="1"/>
  <c r="KP50" i="66" s="1"/>
  <c r="KO50" i="66"/>
  <c r="KN50" i="66" s="1"/>
  <c r="KM50" i="66"/>
  <c r="KL50" i="66"/>
  <c r="KK50" i="66" s="1"/>
  <c r="KJ50" i="66" s="1"/>
  <c r="KI50" i="66"/>
  <c r="KH50" i="66" s="1"/>
  <c r="KG50" i="66" s="1"/>
  <c r="KF50" i="66"/>
  <c r="KE50" i="66"/>
  <c r="KD50" i="66" s="1"/>
  <c r="KC50" i="66"/>
  <c r="KB50" i="66" s="1"/>
  <c r="KA50" i="66"/>
  <c r="JZ50" i="66"/>
  <c r="JY50" i="66" s="1"/>
  <c r="JX50" i="66" s="1"/>
  <c r="JW50" i="66"/>
  <c r="JV50" i="66" s="1"/>
  <c r="JU50" i="66" s="1"/>
  <c r="JT50" i="66"/>
  <c r="JS50" i="66" s="1"/>
  <c r="JR50" i="66" s="1"/>
  <c r="JQ50" i="66"/>
  <c r="JP50" i="66" s="1"/>
  <c r="JO50" i="66" s="1"/>
  <c r="JN50" i="66"/>
  <c r="JM50" i="66" s="1"/>
  <c r="JL50" i="66" s="1"/>
  <c r="IQ50" i="66"/>
  <c r="F41" i="67" s="1"/>
  <c r="IN50" i="66"/>
  <c r="IM50" i="66"/>
  <c r="IK50" i="66"/>
  <c r="IJ50" i="66"/>
  <c r="IG50" i="66"/>
  <c r="F30" i="67" s="1"/>
  <c r="ID50" i="66"/>
  <c r="IC50" i="66"/>
  <c r="IA50" i="66"/>
  <c r="HZ50" i="66"/>
  <c r="HW50" i="66"/>
  <c r="F20" i="67" s="1"/>
  <c r="HT50" i="66"/>
  <c r="HS50" i="66"/>
  <c r="HQ50" i="66"/>
  <c r="HP50" i="66"/>
  <c r="HM50" i="66"/>
  <c r="HK50" i="66"/>
  <c r="HJ50" i="66"/>
  <c r="HH50" i="66"/>
  <c r="HC50" i="66"/>
  <c r="HA50" i="66"/>
  <c r="GZ50" i="66"/>
  <c r="GX50" i="66"/>
  <c r="FG50" i="66"/>
  <c r="DM50" i="66"/>
  <c r="CW50" i="66"/>
  <c r="CV50" i="66"/>
  <c r="BN50" i="66"/>
  <c r="BS50" i="66" s="1"/>
  <c r="BU50" i="66" s="1"/>
  <c r="LG49" i="66"/>
  <c r="LF49" i="66" s="1"/>
  <c r="LE49" i="66" s="1"/>
  <c r="LD49" i="66"/>
  <c r="LC49" i="66" s="1"/>
  <c r="LB49" i="66" s="1"/>
  <c r="LA49" i="66"/>
  <c r="KZ49" i="66" s="1"/>
  <c r="KY49" i="66"/>
  <c r="KX49" i="66"/>
  <c r="KW49" i="66" s="1"/>
  <c r="KV49" i="66" s="1"/>
  <c r="KU49" i="66"/>
  <c r="KT49" i="66" s="1"/>
  <c r="KS49" i="66" s="1"/>
  <c r="KR49" i="66"/>
  <c r="KQ49" i="66"/>
  <c r="KP49" i="66" s="1"/>
  <c r="KO49" i="66"/>
  <c r="KN49" i="66" s="1"/>
  <c r="KM49" i="66" s="1"/>
  <c r="KL49" i="66"/>
  <c r="KK49" i="66" s="1"/>
  <c r="KJ49" i="66" s="1"/>
  <c r="KI49" i="66"/>
  <c r="KH49" i="66" s="1"/>
  <c r="KG49" i="66" s="1"/>
  <c r="KF49" i="66"/>
  <c r="KE49" i="66" s="1"/>
  <c r="KD49" i="66" s="1"/>
  <c r="KC49" i="66"/>
  <c r="KB49" i="66" s="1"/>
  <c r="KA49" i="66" s="1"/>
  <c r="JZ49" i="66"/>
  <c r="JY49" i="66" s="1"/>
  <c r="JX49" i="66" s="1"/>
  <c r="JW49" i="66"/>
  <c r="JV49" i="66" s="1"/>
  <c r="JU49" i="66" s="1"/>
  <c r="JT49" i="66"/>
  <c r="JS49" i="66" s="1"/>
  <c r="JR49" i="66" s="1"/>
  <c r="JQ49" i="66"/>
  <c r="JP49" i="66" s="1"/>
  <c r="JO49" i="66"/>
  <c r="JN49" i="66"/>
  <c r="JM49" i="66" s="1"/>
  <c r="JL49" i="66" s="1"/>
  <c r="IQ49" i="66"/>
  <c r="E41" i="67" s="1"/>
  <c r="IN49" i="66"/>
  <c r="IM49" i="66"/>
  <c r="IK49" i="66"/>
  <c r="IJ49" i="66"/>
  <c r="IG49" i="66"/>
  <c r="E30" i="67" s="1"/>
  <c r="ID49" i="66"/>
  <c r="IC49" i="66"/>
  <c r="IA49" i="66"/>
  <c r="HZ49" i="66"/>
  <c r="HW49" i="66"/>
  <c r="E20" i="67" s="1"/>
  <c r="HT49" i="66"/>
  <c r="HS49" i="66"/>
  <c r="HQ49" i="66"/>
  <c r="HP49" i="66"/>
  <c r="HM49" i="66"/>
  <c r="HK49" i="66"/>
  <c r="HJ49" i="66"/>
  <c r="HH49" i="66"/>
  <c r="HC49" i="66"/>
  <c r="HA49" i="66"/>
  <c r="GZ49" i="66"/>
  <c r="GX49" i="66"/>
  <c r="FG49" i="66"/>
  <c r="DM49" i="66"/>
  <c r="CW49" i="66"/>
  <c r="CV49" i="66"/>
  <c r="BN49" i="66"/>
  <c r="BS49" i="66" s="1"/>
  <c r="BU49" i="66" s="1"/>
  <c r="LG48" i="66"/>
  <c r="LF48" i="66" s="1"/>
  <c r="LE48" i="66" s="1"/>
  <c r="LD48" i="66"/>
  <c r="LC48" i="66" s="1"/>
  <c r="LB48" i="66" s="1"/>
  <c r="LA48" i="66"/>
  <c r="KZ48" i="66"/>
  <c r="KY48" i="66"/>
  <c r="KX48" i="66"/>
  <c r="KW48" i="66" s="1"/>
  <c r="KV48" i="66" s="1"/>
  <c r="KU48" i="66"/>
  <c r="KT48" i="66"/>
  <c r="KS48" i="66" s="1"/>
  <c r="KR48" i="66"/>
  <c r="KQ48" i="66" s="1"/>
  <c r="KP48" i="66" s="1"/>
  <c r="KO48" i="66"/>
  <c r="KN48" i="66"/>
  <c r="KM48" i="66"/>
  <c r="KL48" i="66"/>
  <c r="KK48" i="66" s="1"/>
  <c r="KJ48" i="66" s="1"/>
  <c r="KI48" i="66"/>
  <c r="KH48" i="66" s="1"/>
  <c r="KG48" i="66" s="1"/>
  <c r="KF48" i="66"/>
  <c r="KE48" i="66"/>
  <c r="KD48" i="66"/>
  <c r="KC48" i="66"/>
  <c r="KB48" i="66"/>
  <c r="KA48" i="66"/>
  <c r="JZ48" i="66"/>
  <c r="JY48" i="66" s="1"/>
  <c r="JX48" i="66" s="1"/>
  <c r="JW48" i="66"/>
  <c r="JV48" i="66"/>
  <c r="JU48" i="66" s="1"/>
  <c r="JT48" i="66"/>
  <c r="JS48" i="66"/>
  <c r="JR48" i="66" s="1"/>
  <c r="JQ48" i="66"/>
  <c r="JP48" i="66"/>
  <c r="JO48" i="66"/>
  <c r="JN48" i="66"/>
  <c r="JM48" i="66" s="1"/>
  <c r="JL48" i="66" s="1"/>
  <c r="IQ48" i="66"/>
  <c r="D41" i="67" s="1"/>
  <c r="IN48" i="66"/>
  <c r="IM48" i="66"/>
  <c r="IK48" i="66"/>
  <c r="IJ48" i="66"/>
  <c r="IG48" i="66"/>
  <c r="D30" i="67" s="1"/>
  <c r="ID48" i="66"/>
  <c r="IC48" i="66"/>
  <c r="IA48" i="66"/>
  <c r="HZ48" i="66"/>
  <c r="HW48" i="66"/>
  <c r="D20" i="67" s="1"/>
  <c r="HT48" i="66"/>
  <c r="HS48" i="66"/>
  <c r="HQ48" i="66"/>
  <c r="HP48" i="66"/>
  <c r="HM48" i="66"/>
  <c r="HK48" i="66"/>
  <c r="HJ48" i="66"/>
  <c r="HH48" i="66"/>
  <c r="HC48" i="66"/>
  <c r="HA48" i="66"/>
  <c r="GZ48" i="66"/>
  <c r="GX48" i="66"/>
  <c r="FG48" i="66"/>
  <c r="DM48" i="66"/>
  <c r="CW48" i="66"/>
  <c r="CV48" i="66"/>
  <c r="BN48" i="66"/>
  <c r="BS48" i="66" s="1"/>
  <c r="BU48" i="66" s="1"/>
  <c r="LG47" i="66"/>
  <c r="LF47" i="66" s="1"/>
  <c r="LE47" i="66" s="1"/>
  <c r="LD47" i="66"/>
  <c r="LC47" i="66" s="1"/>
  <c r="LB47" i="66" s="1"/>
  <c r="LA47" i="66"/>
  <c r="KZ47" i="66"/>
  <c r="KY47" i="66" s="1"/>
  <c r="KX47" i="66"/>
  <c r="KW47" i="66" s="1"/>
  <c r="KV47" i="66" s="1"/>
  <c r="KU47" i="66"/>
  <c r="KT47" i="66"/>
  <c r="KS47" i="66" s="1"/>
  <c r="KR47" i="66"/>
  <c r="KQ47" i="66" s="1"/>
  <c r="KP47" i="66" s="1"/>
  <c r="KO47" i="66"/>
  <c r="KN47" i="66"/>
  <c r="KM47" i="66" s="1"/>
  <c r="KL47" i="66"/>
  <c r="KK47" i="66" s="1"/>
  <c r="KJ47" i="66" s="1"/>
  <c r="KI47" i="66"/>
  <c r="KH47" i="66" s="1"/>
  <c r="KG47" i="66" s="1"/>
  <c r="KF47" i="66"/>
  <c r="KE47" i="66" s="1"/>
  <c r="KD47" i="66" s="1"/>
  <c r="KC47" i="66"/>
  <c r="KB47" i="66"/>
  <c r="KA47" i="66" s="1"/>
  <c r="JZ47" i="66"/>
  <c r="JY47" i="66" s="1"/>
  <c r="JX47" i="66" s="1"/>
  <c r="JW47" i="66"/>
  <c r="JV47" i="66"/>
  <c r="JU47" i="66" s="1"/>
  <c r="JT47" i="66"/>
  <c r="JS47" i="66" s="1"/>
  <c r="JR47" i="66" s="1"/>
  <c r="JQ47" i="66"/>
  <c r="JP47" i="66"/>
  <c r="JO47" i="66" s="1"/>
  <c r="JN47" i="66"/>
  <c r="JM47" i="66" s="1"/>
  <c r="JL47" i="66" s="1"/>
  <c r="IQ47" i="66"/>
  <c r="C41" i="67" s="1"/>
  <c r="IN47" i="66"/>
  <c r="IM47" i="66"/>
  <c r="IK47" i="66"/>
  <c r="IJ47" i="66"/>
  <c r="IG47" i="66"/>
  <c r="C30" i="67" s="1"/>
  <c r="ID47" i="66"/>
  <c r="IC47" i="66"/>
  <c r="IA47" i="66"/>
  <c r="HZ47" i="66"/>
  <c r="HW47" i="66"/>
  <c r="C20" i="67" s="1"/>
  <c r="HT47" i="66"/>
  <c r="HS47" i="66"/>
  <c r="HQ47" i="66"/>
  <c r="HP47" i="66"/>
  <c r="HM47" i="66"/>
  <c r="HK47" i="66"/>
  <c r="HJ47" i="66"/>
  <c r="HH47" i="66"/>
  <c r="HC47" i="66"/>
  <c r="HA47" i="66"/>
  <c r="GZ47" i="66"/>
  <c r="GX47" i="66"/>
  <c r="FG47" i="66"/>
  <c r="DM47" i="66"/>
  <c r="CW47" i="66"/>
  <c r="CV47" i="66"/>
  <c r="LG46" i="66"/>
  <c r="LF46" i="66" s="1"/>
  <c r="LE46" i="66" s="1"/>
  <c r="LD46" i="66"/>
  <c r="LC46" i="66"/>
  <c r="LB46" i="66" s="1"/>
  <c r="LA46" i="66"/>
  <c r="KZ46" i="66"/>
  <c r="KY46" i="66" s="1"/>
  <c r="KX46" i="66"/>
  <c r="KW46" i="66"/>
  <c r="KV46" i="66" s="1"/>
  <c r="KU46" i="66"/>
  <c r="KT46" i="66" s="1"/>
  <c r="KS46" i="66" s="1"/>
  <c r="KR46" i="66"/>
  <c r="KQ46" i="66" s="1"/>
  <c r="KP46" i="66" s="1"/>
  <c r="KO46" i="66"/>
  <c r="KN46" i="66" s="1"/>
  <c r="KM46" i="66" s="1"/>
  <c r="KL46" i="66"/>
  <c r="KK46" i="66"/>
  <c r="KJ46" i="66" s="1"/>
  <c r="KI46" i="66"/>
  <c r="KH46" i="66" s="1"/>
  <c r="KG46" i="66" s="1"/>
  <c r="KF46" i="66"/>
  <c r="KE46" i="66"/>
  <c r="KD46" i="66" s="1"/>
  <c r="KC46" i="66"/>
  <c r="KB46" i="66"/>
  <c r="KA46" i="66" s="1"/>
  <c r="JZ46" i="66"/>
  <c r="JY46" i="66"/>
  <c r="JX46" i="66" s="1"/>
  <c r="JW46" i="66"/>
  <c r="JV46" i="66" s="1"/>
  <c r="JU46" i="66" s="1"/>
  <c r="JT46" i="66"/>
  <c r="JS46" i="66" s="1"/>
  <c r="JR46" i="66" s="1"/>
  <c r="JQ46" i="66"/>
  <c r="JP46" i="66" s="1"/>
  <c r="JO46" i="66" s="1"/>
  <c r="JN46" i="66"/>
  <c r="JM46" i="66"/>
  <c r="JL46" i="66" s="1"/>
  <c r="IH46" i="66"/>
  <c r="HY46" i="66"/>
  <c r="HX46" i="66"/>
  <c r="HO46" i="66"/>
  <c r="HU46" i="66" s="1"/>
  <c r="HW46" i="66" s="1"/>
  <c r="G19" i="67" s="1"/>
  <c r="HN46" i="66"/>
  <c r="HM46" i="66"/>
  <c r="HK46" i="66"/>
  <c r="HJ46" i="66"/>
  <c r="HH46" i="66"/>
  <c r="HC46" i="66"/>
  <c r="HA46" i="66"/>
  <c r="GZ46" i="66"/>
  <c r="GX46" i="66"/>
  <c r="FG46" i="66"/>
  <c r="LG45" i="66"/>
  <c r="LF45" i="66"/>
  <c r="LE45" i="66" s="1"/>
  <c r="LD45" i="66"/>
  <c r="LC45" i="66" s="1"/>
  <c r="LB45" i="66" s="1"/>
  <c r="LA45" i="66"/>
  <c r="KZ45" i="66" s="1"/>
  <c r="KY45" i="66" s="1"/>
  <c r="KX45" i="66"/>
  <c r="KW45" i="66" s="1"/>
  <c r="KV45" i="66" s="1"/>
  <c r="KU45" i="66"/>
  <c r="KT45" i="66" s="1"/>
  <c r="KS45" i="66" s="1"/>
  <c r="KR45" i="66"/>
  <c r="KQ45" i="66" s="1"/>
  <c r="KP45" i="66" s="1"/>
  <c r="KO45" i="66"/>
  <c r="KN45" i="66" s="1"/>
  <c r="KM45" i="66" s="1"/>
  <c r="KL45" i="66"/>
  <c r="KK45" i="66" s="1"/>
  <c r="KJ45" i="66" s="1"/>
  <c r="KI45" i="66"/>
  <c r="KH45" i="66"/>
  <c r="KG45" i="66" s="1"/>
  <c r="KF45" i="66"/>
  <c r="KE45" i="66" s="1"/>
  <c r="KD45" i="66" s="1"/>
  <c r="KC45" i="66"/>
  <c r="KB45" i="66" s="1"/>
  <c r="KA45" i="66" s="1"/>
  <c r="JZ45" i="66"/>
  <c r="JY45" i="66" s="1"/>
  <c r="JX45" i="66" s="1"/>
  <c r="JW45" i="66"/>
  <c r="JV45" i="66" s="1"/>
  <c r="JU45" i="66" s="1"/>
  <c r="JT45" i="66"/>
  <c r="JS45" i="66" s="1"/>
  <c r="JR45" i="66" s="1"/>
  <c r="JQ45" i="66"/>
  <c r="JP45" i="66" s="1"/>
  <c r="JO45" i="66" s="1"/>
  <c r="JN45" i="66"/>
  <c r="JM45" i="66" s="1"/>
  <c r="JL45" i="66" s="1"/>
  <c r="IQ45" i="66"/>
  <c r="F39" i="67" s="1"/>
  <c r="IN45" i="66"/>
  <c r="IM45" i="66"/>
  <c r="IK45" i="66"/>
  <c r="IJ45" i="66"/>
  <c r="IG45" i="66"/>
  <c r="F29" i="67" s="1"/>
  <c r="ID45" i="66"/>
  <c r="IC45" i="66"/>
  <c r="IA45" i="66"/>
  <c r="HZ45" i="66"/>
  <c r="HW45" i="66"/>
  <c r="F19" i="67" s="1"/>
  <c r="HT45" i="66"/>
  <c r="HS45" i="66"/>
  <c r="HQ45" i="66"/>
  <c r="HP45" i="66"/>
  <c r="HM45" i="66"/>
  <c r="HK45" i="66"/>
  <c r="HJ45" i="66"/>
  <c r="HH45" i="66"/>
  <c r="HC45" i="66"/>
  <c r="HA45" i="66"/>
  <c r="GZ45" i="66"/>
  <c r="GX45" i="66"/>
  <c r="FG45" i="66"/>
  <c r="LG44" i="66"/>
  <c r="LF44" i="66" s="1"/>
  <c r="LE44" i="66" s="1"/>
  <c r="LD44" i="66"/>
  <c r="LC44" i="66" s="1"/>
  <c r="LB44" i="66" s="1"/>
  <c r="LA44" i="66"/>
  <c r="KZ44" i="66" s="1"/>
  <c r="KY44" i="66" s="1"/>
  <c r="KX44" i="66"/>
  <c r="KW44" i="66"/>
  <c r="KV44" i="66" s="1"/>
  <c r="KU44" i="66"/>
  <c r="KT44" i="66" s="1"/>
  <c r="KS44" i="66" s="1"/>
  <c r="KR44" i="66"/>
  <c r="KQ44" i="66" s="1"/>
  <c r="KP44" i="66" s="1"/>
  <c r="KO44" i="66"/>
  <c r="KN44" i="66" s="1"/>
  <c r="KM44" i="66" s="1"/>
  <c r="KL44" i="66"/>
  <c r="KK44" i="66" s="1"/>
  <c r="KJ44" i="66" s="1"/>
  <c r="KI44" i="66"/>
  <c r="KH44" i="66" s="1"/>
  <c r="KG44" i="66" s="1"/>
  <c r="KF44" i="66"/>
  <c r="KE44" i="66" s="1"/>
  <c r="KD44" i="66" s="1"/>
  <c r="KC44" i="66"/>
  <c r="KB44" i="66" s="1"/>
  <c r="KA44" i="66" s="1"/>
  <c r="JZ44" i="66"/>
  <c r="JY44" i="66" s="1"/>
  <c r="JX44" i="66" s="1"/>
  <c r="JW44" i="66"/>
  <c r="JV44" i="66" s="1"/>
  <c r="JU44" i="66" s="1"/>
  <c r="JT44" i="66"/>
  <c r="JS44" i="66" s="1"/>
  <c r="JR44" i="66" s="1"/>
  <c r="JQ44" i="66"/>
  <c r="JP44" i="66" s="1"/>
  <c r="JO44" i="66" s="1"/>
  <c r="JN44" i="66"/>
  <c r="JM44" i="66"/>
  <c r="JL44" i="66" s="1"/>
  <c r="IQ44" i="66"/>
  <c r="E39" i="67" s="1"/>
  <c r="IN44" i="66"/>
  <c r="IM44" i="66"/>
  <c r="IK44" i="66"/>
  <c r="IJ44" i="66"/>
  <c r="IG44" i="66"/>
  <c r="E29" i="67" s="1"/>
  <c r="ID44" i="66"/>
  <c r="IC44" i="66"/>
  <c r="IA44" i="66"/>
  <c r="HZ44" i="66"/>
  <c r="HW44" i="66"/>
  <c r="E19" i="67" s="1"/>
  <c r="HT44" i="66"/>
  <c r="HS44" i="66"/>
  <c r="HQ44" i="66"/>
  <c r="HP44" i="66"/>
  <c r="HM44" i="66"/>
  <c r="HK44" i="66"/>
  <c r="HJ44" i="66"/>
  <c r="HH44" i="66"/>
  <c r="HC44" i="66"/>
  <c r="HA44" i="66"/>
  <c r="GZ44" i="66"/>
  <c r="GX44" i="66"/>
  <c r="FX44" i="66"/>
  <c r="FJ44" i="66"/>
  <c r="FI44" i="66"/>
  <c r="FG44" i="66"/>
  <c r="FC44" i="66"/>
  <c r="FB44" i="66"/>
  <c r="FA44" i="66"/>
  <c r="DP44" i="66"/>
  <c r="DO44" i="66"/>
  <c r="DN44" i="66"/>
  <c r="DM44" i="66"/>
  <c r="DL44" i="66"/>
  <c r="DK44" i="66"/>
  <c r="DJ44" i="66"/>
  <c r="DI44" i="66"/>
  <c r="DH44" i="66"/>
  <c r="DG44" i="66"/>
  <c r="DF44" i="66"/>
  <c r="DE44" i="66"/>
  <c r="DD44" i="66"/>
  <c r="DC44" i="66"/>
  <c r="DA44" i="66"/>
  <c r="CZ44" i="66"/>
  <c r="CY44" i="66"/>
  <c r="CX44" i="66"/>
  <c r="CW44" i="66"/>
  <c r="CV44" i="66"/>
  <c r="LG43" i="66"/>
  <c r="LF43" i="66" s="1"/>
  <c r="LE43" i="66" s="1"/>
  <c r="LD43" i="66"/>
  <c r="LC43" i="66" s="1"/>
  <c r="LB43" i="66" s="1"/>
  <c r="LA43" i="66"/>
  <c r="KZ43" i="66"/>
  <c r="KY43" i="66" s="1"/>
  <c r="KX43" i="66"/>
  <c r="KW43" i="66" s="1"/>
  <c r="KV43" i="66" s="1"/>
  <c r="KU43" i="66"/>
  <c r="KT43" i="66" s="1"/>
  <c r="KS43" i="66" s="1"/>
  <c r="KR43" i="66"/>
  <c r="KQ43" i="66" s="1"/>
  <c r="KP43" i="66" s="1"/>
  <c r="KO43" i="66"/>
  <c r="KN43" i="66" s="1"/>
  <c r="KM43" i="66" s="1"/>
  <c r="KL43" i="66"/>
  <c r="KK43" i="66" s="1"/>
  <c r="KJ43" i="66" s="1"/>
  <c r="KI43" i="66"/>
  <c r="KH43" i="66" s="1"/>
  <c r="KG43" i="66" s="1"/>
  <c r="KF43" i="66"/>
  <c r="KE43" i="66" s="1"/>
  <c r="KD43" i="66" s="1"/>
  <c r="KC43" i="66"/>
  <c r="KB43" i="66" s="1"/>
  <c r="KA43" i="66" s="1"/>
  <c r="JZ43" i="66"/>
  <c r="JY43" i="66" s="1"/>
  <c r="JX43" i="66" s="1"/>
  <c r="JW43" i="66"/>
  <c r="JV43" i="66" s="1"/>
  <c r="JU43" i="66" s="1"/>
  <c r="JT43" i="66"/>
  <c r="JS43" i="66" s="1"/>
  <c r="JR43" i="66" s="1"/>
  <c r="JQ43" i="66"/>
  <c r="JP43" i="66"/>
  <c r="JO43" i="66" s="1"/>
  <c r="JN43" i="66"/>
  <c r="JM43" i="66" s="1"/>
  <c r="JL43" i="66" s="1"/>
  <c r="JB43" i="66"/>
  <c r="IW43" i="66"/>
  <c r="IQ43" i="66"/>
  <c r="D39" i="67" s="1"/>
  <c r="IN43" i="66"/>
  <c r="IM43" i="66"/>
  <c r="IK43" i="66"/>
  <c r="IJ43" i="66"/>
  <c r="IG43" i="66"/>
  <c r="D29" i="67" s="1"/>
  <c r="ID43" i="66"/>
  <c r="IC43" i="66"/>
  <c r="IA43" i="66"/>
  <c r="HZ43" i="66"/>
  <c r="HW43" i="66"/>
  <c r="D19" i="67" s="1"/>
  <c r="HT43" i="66"/>
  <c r="HS43" i="66"/>
  <c r="HQ43" i="66"/>
  <c r="HP43" i="66"/>
  <c r="HM43" i="66"/>
  <c r="HK43" i="66"/>
  <c r="HJ43" i="66"/>
  <c r="HH43" i="66"/>
  <c r="HC43" i="66"/>
  <c r="HA43" i="66"/>
  <c r="GZ43" i="66"/>
  <c r="GX43" i="66"/>
  <c r="FX43" i="66"/>
  <c r="FJ43" i="66"/>
  <c r="FI43" i="66"/>
  <c r="FG43" i="66"/>
  <c r="FC43" i="66"/>
  <c r="FB43" i="66"/>
  <c r="FA43" i="66"/>
  <c r="DP43" i="66"/>
  <c r="DO43" i="66"/>
  <c r="DN43" i="66"/>
  <c r="DM43" i="66"/>
  <c r="DL43" i="66"/>
  <c r="DK43" i="66"/>
  <c r="DJ43" i="66"/>
  <c r="DI43" i="66"/>
  <c r="DH43" i="66"/>
  <c r="DG43" i="66"/>
  <c r="DF43" i="66"/>
  <c r="DE43" i="66"/>
  <c r="DD43" i="66"/>
  <c r="DC43" i="66"/>
  <c r="DA43" i="66"/>
  <c r="CZ43" i="66"/>
  <c r="CY43" i="66"/>
  <c r="CX43" i="66"/>
  <c r="CW43" i="66"/>
  <c r="CV43" i="66"/>
  <c r="BY43" i="66"/>
  <c r="BT43" i="66"/>
  <c r="BO43" i="66"/>
  <c r="BI43" i="66"/>
  <c r="AZ43" i="66"/>
  <c r="AV43" i="66"/>
  <c r="AQ43" i="66"/>
  <c r="AH43" i="66"/>
  <c r="AB43" i="66"/>
  <c r="W43" i="66"/>
  <c r="U43" i="66"/>
  <c r="S43" i="66"/>
  <c r="HY50" i="66" s="1"/>
  <c r="IE50" i="66" s="1"/>
  <c r="R43" i="66"/>
  <c r="M43" i="66"/>
  <c r="H43" i="66"/>
  <c r="F43" i="66"/>
  <c r="D43" i="66"/>
  <c r="HO50" i="66" s="1"/>
  <c r="HU50" i="66" s="1"/>
  <c r="C43" i="66"/>
  <c r="LG42" i="66"/>
  <c r="LF42" i="66" s="1"/>
  <c r="LE42" i="66" s="1"/>
  <c r="LD42" i="66"/>
  <c r="LC42" i="66" s="1"/>
  <c r="LB42" i="66" s="1"/>
  <c r="LA42" i="66"/>
  <c r="KZ42" i="66" s="1"/>
  <c r="KY42" i="66" s="1"/>
  <c r="KX42" i="66"/>
  <c r="KW42" i="66" s="1"/>
  <c r="KV42" i="66" s="1"/>
  <c r="KU42" i="66"/>
  <c r="KT42" i="66"/>
  <c r="KS42" i="66" s="1"/>
  <c r="KR42" i="66"/>
  <c r="KQ42" i="66" s="1"/>
  <c r="KP42" i="66" s="1"/>
  <c r="KO42" i="66"/>
  <c r="KN42" i="66" s="1"/>
  <c r="KM42" i="66" s="1"/>
  <c r="KL42" i="66"/>
  <c r="KK42" i="66" s="1"/>
  <c r="KJ42" i="66" s="1"/>
  <c r="KI42" i="66"/>
  <c r="KH42" i="66"/>
  <c r="KG42" i="66" s="1"/>
  <c r="KF42" i="66"/>
  <c r="KE42" i="66" s="1"/>
  <c r="KD42" i="66"/>
  <c r="KC42" i="66"/>
  <c r="KB42" i="66"/>
  <c r="KA42" i="66" s="1"/>
  <c r="JZ42" i="66"/>
  <c r="JY42" i="66" s="1"/>
  <c r="JX42" i="66" s="1"/>
  <c r="JW42" i="66"/>
  <c r="JV42" i="66" s="1"/>
  <c r="JU42" i="66" s="1"/>
  <c r="JT42" i="66"/>
  <c r="JS42" i="66" s="1"/>
  <c r="JR42" i="66" s="1"/>
  <c r="JQ42" i="66"/>
  <c r="JP42" i="66" s="1"/>
  <c r="JO42" i="66" s="1"/>
  <c r="JN42" i="66"/>
  <c r="JM42" i="66" s="1"/>
  <c r="JL42" i="66" s="1"/>
  <c r="JB42" i="66"/>
  <c r="IW42" i="66"/>
  <c r="IQ42" i="66"/>
  <c r="C39" i="67" s="1"/>
  <c r="IN42" i="66"/>
  <c r="IM42" i="66"/>
  <c r="IK42" i="66"/>
  <c r="IJ42" i="66"/>
  <c r="IG42" i="66"/>
  <c r="C29" i="67" s="1"/>
  <c r="ID42" i="66"/>
  <c r="IC42" i="66"/>
  <c r="IA42" i="66"/>
  <c r="HZ42" i="66"/>
  <c r="HW42" i="66"/>
  <c r="C19" i="67" s="1"/>
  <c r="HT42" i="66"/>
  <c r="HS42" i="66"/>
  <c r="HQ42" i="66"/>
  <c r="HP42" i="66"/>
  <c r="HM42" i="66"/>
  <c r="HK42" i="66"/>
  <c r="HJ42" i="66"/>
  <c r="HH42" i="66"/>
  <c r="HC42" i="66"/>
  <c r="HA42" i="66"/>
  <c r="GZ42" i="66"/>
  <c r="GX42" i="66"/>
  <c r="FX42" i="66"/>
  <c r="FG42" i="66"/>
  <c r="FB42" i="66"/>
  <c r="FA42" i="66"/>
  <c r="EH42" i="66"/>
  <c r="DM42" i="66"/>
  <c r="CW42" i="66"/>
  <c r="CV42" i="66"/>
  <c r="BX42" i="66"/>
  <c r="BS42" i="66"/>
  <c r="BN42" i="66"/>
  <c r="BI42" i="66"/>
  <c r="AZ42" i="66"/>
  <c r="AV42" i="66"/>
  <c r="AQ42" i="66"/>
  <c r="AH42" i="66"/>
  <c r="AB42" i="66"/>
  <c r="W42" i="66"/>
  <c r="U42" i="66"/>
  <c r="S42" i="66"/>
  <c r="HY49" i="66" s="1"/>
  <c r="IE49" i="66" s="1"/>
  <c r="R42" i="66"/>
  <c r="M42" i="66"/>
  <c r="H42" i="66"/>
  <c r="F42" i="66"/>
  <c r="D42" i="66"/>
  <c r="HO49" i="66" s="1"/>
  <c r="HU49" i="66" s="1"/>
  <c r="C42" i="66"/>
  <c r="LG41" i="66"/>
  <c r="LF41" i="66" s="1"/>
  <c r="LE41" i="66" s="1"/>
  <c r="LD41" i="66"/>
  <c r="LC41" i="66" s="1"/>
  <c r="LB41" i="66" s="1"/>
  <c r="LA41" i="66"/>
  <c r="KZ41" i="66" s="1"/>
  <c r="KY41" i="66" s="1"/>
  <c r="KX41" i="66"/>
  <c r="KW41" i="66"/>
  <c r="KV41" i="66" s="1"/>
  <c r="KU41" i="66"/>
  <c r="KT41" i="66" s="1"/>
  <c r="KS41" i="66" s="1"/>
  <c r="KR41" i="66"/>
  <c r="KQ41" i="66" s="1"/>
  <c r="KP41" i="66" s="1"/>
  <c r="KO41" i="66"/>
  <c r="KN41" i="66" s="1"/>
  <c r="KM41" i="66" s="1"/>
  <c r="KL41" i="66"/>
  <c r="KK41" i="66"/>
  <c r="KJ41" i="66" s="1"/>
  <c r="KI41" i="66"/>
  <c r="KH41" i="66" s="1"/>
  <c r="KG41" i="66" s="1"/>
  <c r="KF41" i="66"/>
  <c r="KE41" i="66" s="1"/>
  <c r="KD41" i="66" s="1"/>
  <c r="KC41" i="66"/>
  <c r="KB41" i="66" s="1"/>
  <c r="KA41" i="66" s="1"/>
  <c r="JZ41" i="66"/>
  <c r="JY41" i="66"/>
  <c r="JX41" i="66" s="1"/>
  <c r="JW41" i="66"/>
  <c r="JV41" i="66" s="1"/>
  <c r="JU41" i="66" s="1"/>
  <c r="JT41" i="66"/>
  <c r="JS41" i="66" s="1"/>
  <c r="JR41" i="66" s="1"/>
  <c r="JQ41" i="66"/>
  <c r="JP41" i="66" s="1"/>
  <c r="JO41" i="66" s="1"/>
  <c r="JN41" i="66"/>
  <c r="JM41" i="66" s="1"/>
  <c r="JL41" i="66" s="1"/>
  <c r="JB41" i="66"/>
  <c r="IW41" i="66"/>
  <c r="IH41" i="66"/>
  <c r="HY41" i="66"/>
  <c r="HZ41" i="66" s="1"/>
  <c r="HX41" i="66"/>
  <c r="HU41" i="66"/>
  <c r="HW41" i="66" s="1"/>
  <c r="G18" i="67" s="1"/>
  <c r="HO41" i="66"/>
  <c r="HP41" i="66" s="1"/>
  <c r="HN41" i="66"/>
  <c r="HM41" i="66"/>
  <c r="HK41" i="66"/>
  <c r="HJ41" i="66"/>
  <c r="HH41" i="66"/>
  <c r="HC41" i="66"/>
  <c r="HA41" i="66"/>
  <c r="GZ41" i="66"/>
  <c r="GX41" i="66"/>
  <c r="FX41" i="66"/>
  <c r="FG41" i="66"/>
  <c r="FB41" i="66"/>
  <c r="FA41" i="66"/>
  <c r="EH41" i="66"/>
  <c r="DM41" i="66"/>
  <c r="CW41" i="66"/>
  <c r="CV41" i="66"/>
  <c r="BW41" i="66"/>
  <c r="BR41" i="66"/>
  <c r="BM41" i="66"/>
  <c r="BI41" i="66"/>
  <c r="AZ41" i="66"/>
  <c r="AV41" i="66"/>
  <c r="AQ41" i="66"/>
  <c r="AH41" i="66"/>
  <c r="II48" i="66" s="1"/>
  <c r="IO48" i="66" s="1"/>
  <c r="AB41" i="66"/>
  <c r="W41" i="66"/>
  <c r="U41" i="66"/>
  <c r="S41" i="66"/>
  <c r="HY48" i="66" s="1"/>
  <c r="IE48" i="66" s="1"/>
  <c r="R41" i="66"/>
  <c r="M41" i="66"/>
  <c r="H41" i="66"/>
  <c r="F41" i="66"/>
  <c r="D41" i="66"/>
  <c r="HO48" i="66" s="1"/>
  <c r="HU48" i="66" s="1"/>
  <c r="C41" i="66"/>
  <c r="LG40" i="66"/>
  <c r="LF40" i="66" s="1"/>
  <c r="LE40" i="66" s="1"/>
  <c r="LD40" i="66"/>
  <c r="LC40" i="66" s="1"/>
  <c r="LB40" i="66" s="1"/>
  <c r="LA40" i="66"/>
  <c r="KZ40" i="66" s="1"/>
  <c r="KY40" i="66" s="1"/>
  <c r="KX40" i="66"/>
  <c r="KW40" i="66" s="1"/>
  <c r="KV40" i="66" s="1"/>
  <c r="KU40" i="66"/>
  <c r="KT40" i="66" s="1"/>
  <c r="KS40" i="66" s="1"/>
  <c r="KR40" i="66"/>
  <c r="KQ40" i="66" s="1"/>
  <c r="KP40" i="66" s="1"/>
  <c r="KO40" i="66"/>
  <c r="KN40" i="66" s="1"/>
  <c r="KM40" i="66" s="1"/>
  <c r="KL40" i="66"/>
  <c r="KK40" i="66" s="1"/>
  <c r="KJ40" i="66" s="1"/>
  <c r="KI40" i="66"/>
  <c r="KH40" i="66" s="1"/>
  <c r="KG40" i="66" s="1"/>
  <c r="KF40" i="66"/>
  <c r="KE40" i="66" s="1"/>
  <c r="KD40" i="66" s="1"/>
  <c r="KC40" i="66"/>
  <c r="KB40" i="66" s="1"/>
  <c r="KA40" i="66" s="1"/>
  <c r="JZ40" i="66"/>
  <c r="JY40" i="66" s="1"/>
  <c r="JX40" i="66" s="1"/>
  <c r="JW40" i="66"/>
  <c r="JV40" i="66" s="1"/>
  <c r="JU40" i="66" s="1"/>
  <c r="JT40" i="66"/>
  <c r="JS40" i="66" s="1"/>
  <c r="JR40" i="66" s="1"/>
  <c r="JQ40" i="66"/>
  <c r="JP40" i="66" s="1"/>
  <c r="JO40" i="66" s="1"/>
  <c r="JN40" i="66"/>
  <c r="JM40" i="66" s="1"/>
  <c r="JL40" i="66" s="1"/>
  <c r="JB40" i="66"/>
  <c r="IW40" i="66"/>
  <c r="IQ40" i="66"/>
  <c r="F37" i="67" s="1"/>
  <c r="IN40" i="66"/>
  <c r="IM40" i="66"/>
  <c r="IK40" i="66"/>
  <c r="IG40" i="66"/>
  <c r="F28" i="67" s="1"/>
  <c r="ID40" i="66"/>
  <c r="IC40" i="66"/>
  <c r="IA40" i="66"/>
  <c r="HZ40" i="66"/>
  <c r="HW40" i="66"/>
  <c r="F18" i="67" s="1"/>
  <c r="HT40" i="66"/>
  <c r="HS40" i="66"/>
  <c r="HQ40" i="66"/>
  <c r="HP40" i="66"/>
  <c r="HM40" i="66"/>
  <c r="HK40" i="66"/>
  <c r="HJ40" i="66"/>
  <c r="HH40" i="66"/>
  <c r="HC40" i="66"/>
  <c r="HA40" i="66"/>
  <c r="GZ40" i="66"/>
  <c r="GX40" i="66"/>
  <c r="FX40" i="66"/>
  <c r="FB40" i="66"/>
  <c r="FA40" i="66"/>
  <c r="EH40" i="66"/>
  <c r="DM40" i="66"/>
  <c r="CW40" i="66"/>
  <c r="CV40" i="66"/>
  <c r="BV40" i="66"/>
  <c r="BQ40" i="66"/>
  <c r="BL40" i="66"/>
  <c r="BI40" i="66"/>
  <c r="AZ40" i="66"/>
  <c r="AV40" i="66"/>
  <c r="AQ40" i="66"/>
  <c r="AH40" i="66"/>
  <c r="AG40" i="66" s="1"/>
  <c r="AB40" i="66"/>
  <c r="W40" i="66"/>
  <c r="U40" i="66"/>
  <c r="S40" i="66"/>
  <c r="HY47" i="66" s="1"/>
  <c r="IE47" i="66" s="1"/>
  <c r="R40" i="66"/>
  <c r="M40" i="66"/>
  <c r="H40" i="66"/>
  <c r="F40" i="66"/>
  <c r="D40" i="66"/>
  <c r="HO47" i="66" s="1"/>
  <c r="HU47" i="66" s="1"/>
  <c r="C40" i="66"/>
  <c r="LG39" i="66"/>
  <c r="LF39" i="66"/>
  <c r="LE39" i="66" s="1"/>
  <c r="LD39" i="66"/>
  <c r="LC39" i="66" s="1"/>
  <c r="LB39" i="66" s="1"/>
  <c r="LA39" i="66"/>
  <c r="KZ39" i="66" s="1"/>
  <c r="KY39" i="66" s="1"/>
  <c r="KX39" i="66"/>
  <c r="KW39" i="66" s="1"/>
  <c r="KV39" i="66" s="1"/>
  <c r="KU39" i="66"/>
  <c r="KT39" i="66" s="1"/>
  <c r="KS39" i="66" s="1"/>
  <c r="KR39" i="66"/>
  <c r="KQ39" i="66" s="1"/>
  <c r="KP39" i="66"/>
  <c r="KO39" i="66"/>
  <c r="KN39" i="66"/>
  <c r="KM39" i="66" s="1"/>
  <c r="KL39" i="66"/>
  <c r="KK39" i="66"/>
  <c r="KJ39" i="66" s="1"/>
  <c r="KI39" i="66"/>
  <c r="KH39" i="66"/>
  <c r="KG39" i="66" s="1"/>
  <c r="KF39" i="66"/>
  <c r="KE39" i="66" s="1"/>
  <c r="KD39" i="66" s="1"/>
  <c r="KC39" i="66"/>
  <c r="KB39" i="66" s="1"/>
  <c r="KA39" i="66" s="1"/>
  <c r="JZ39" i="66"/>
  <c r="JY39" i="66" s="1"/>
  <c r="JX39" i="66" s="1"/>
  <c r="JW39" i="66"/>
  <c r="JV39" i="66" s="1"/>
  <c r="JU39" i="66" s="1"/>
  <c r="JT39" i="66"/>
  <c r="JS39" i="66" s="1"/>
  <c r="JR39" i="66"/>
  <c r="JQ39" i="66"/>
  <c r="JP39" i="66"/>
  <c r="JO39" i="66" s="1"/>
  <c r="JN39" i="66"/>
  <c r="JM39" i="66"/>
  <c r="JL39" i="66" s="1"/>
  <c r="JB39" i="66"/>
  <c r="IW39" i="66"/>
  <c r="IQ39" i="66"/>
  <c r="E37" i="67" s="1"/>
  <c r="IN39" i="66"/>
  <c r="IM39" i="66"/>
  <c r="IK39" i="66"/>
  <c r="IJ39" i="66"/>
  <c r="IG39" i="66"/>
  <c r="E28" i="67" s="1"/>
  <c r="ID39" i="66"/>
  <c r="IC39" i="66"/>
  <c r="IA39" i="66"/>
  <c r="HZ39" i="66"/>
  <c r="HW39" i="66"/>
  <c r="E18" i="67" s="1"/>
  <c r="HT39" i="66"/>
  <c r="HS39" i="66"/>
  <c r="HQ39" i="66"/>
  <c r="HP39" i="66"/>
  <c r="HM39" i="66"/>
  <c r="HK39" i="66"/>
  <c r="HJ39" i="66"/>
  <c r="HH39" i="66"/>
  <c r="HC39" i="66"/>
  <c r="HA39" i="66"/>
  <c r="GZ39" i="66"/>
  <c r="GX39" i="66"/>
  <c r="FX39" i="66"/>
  <c r="FB39" i="66"/>
  <c r="FA39" i="66"/>
  <c r="EH39" i="66"/>
  <c r="DM39" i="66"/>
  <c r="CW39" i="66"/>
  <c r="CV39" i="66"/>
  <c r="BY39" i="66"/>
  <c r="BT39" i="66"/>
  <c r="BO39" i="66"/>
  <c r="AZ39" i="66"/>
  <c r="AV39" i="66"/>
  <c r="AQ39" i="66"/>
  <c r="AH39" i="66"/>
  <c r="AB39" i="66"/>
  <c r="W39" i="66"/>
  <c r="U39" i="66"/>
  <c r="S39" i="66"/>
  <c r="HY45" i="66" s="1"/>
  <c r="IE45" i="66" s="1"/>
  <c r="R39" i="66"/>
  <c r="M39" i="66"/>
  <c r="H39" i="66"/>
  <c r="F39" i="66"/>
  <c r="D39" i="66"/>
  <c r="HO45" i="66" s="1"/>
  <c r="HU45" i="66" s="1"/>
  <c r="C39" i="66"/>
  <c r="LG38" i="66"/>
  <c r="LF38" i="66" s="1"/>
  <c r="LE38" i="66" s="1"/>
  <c r="LD38" i="66"/>
  <c r="LC38" i="66" s="1"/>
  <c r="LB38" i="66" s="1"/>
  <c r="LA38" i="66"/>
  <c r="KZ38" i="66" s="1"/>
  <c r="KY38" i="66" s="1"/>
  <c r="KX38" i="66"/>
  <c r="KW38" i="66" s="1"/>
  <c r="KV38" i="66" s="1"/>
  <c r="KU38" i="66"/>
  <c r="KT38" i="66" s="1"/>
  <c r="KS38" i="66" s="1"/>
  <c r="KR38" i="66"/>
  <c r="KQ38" i="66" s="1"/>
  <c r="KP38" i="66" s="1"/>
  <c r="KO38" i="66"/>
  <c r="KN38" i="66" s="1"/>
  <c r="KM38" i="66" s="1"/>
  <c r="KL38" i="66"/>
  <c r="KK38" i="66" s="1"/>
  <c r="KJ38" i="66" s="1"/>
  <c r="KI38" i="66"/>
  <c r="KH38" i="66" s="1"/>
  <c r="KG38" i="66" s="1"/>
  <c r="KF38" i="66"/>
  <c r="KE38" i="66"/>
  <c r="KD38" i="66" s="1"/>
  <c r="KC38" i="66"/>
  <c r="KB38" i="66" s="1"/>
  <c r="KA38" i="66" s="1"/>
  <c r="JZ38" i="66"/>
  <c r="JY38" i="66" s="1"/>
  <c r="JX38" i="66" s="1"/>
  <c r="JW38" i="66"/>
  <c r="JV38" i="66" s="1"/>
  <c r="JU38" i="66" s="1"/>
  <c r="JT38" i="66"/>
  <c r="JS38" i="66"/>
  <c r="JR38" i="66" s="1"/>
  <c r="JQ38" i="66"/>
  <c r="JP38" i="66" s="1"/>
  <c r="JO38" i="66" s="1"/>
  <c r="JN38" i="66"/>
  <c r="JM38" i="66" s="1"/>
  <c r="JL38" i="66" s="1"/>
  <c r="JB38" i="66"/>
  <c r="IW38" i="66"/>
  <c r="IQ38" i="66"/>
  <c r="D37" i="67" s="1"/>
  <c r="IN38" i="66"/>
  <c r="IM38" i="66"/>
  <c r="IK38" i="66"/>
  <c r="IJ38" i="66"/>
  <c r="IG38" i="66"/>
  <c r="D28" i="67" s="1"/>
  <c r="ID38" i="66"/>
  <c r="IC38" i="66"/>
  <c r="IA38" i="66"/>
  <c r="HZ38" i="66"/>
  <c r="HW38" i="66"/>
  <c r="D18" i="67" s="1"/>
  <c r="HT38" i="66"/>
  <c r="HS38" i="66"/>
  <c r="HQ38" i="66"/>
  <c r="HP38" i="66"/>
  <c r="HM38" i="66"/>
  <c r="HK38" i="66"/>
  <c r="HJ38" i="66"/>
  <c r="HH38" i="66"/>
  <c r="HC38" i="66"/>
  <c r="HA38" i="66"/>
  <c r="GZ38" i="66"/>
  <c r="GX38" i="66"/>
  <c r="FG38" i="66"/>
  <c r="BX38" i="66"/>
  <c r="BS38" i="66"/>
  <c r="BN38" i="66"/>
  <c r="AZ38" i="66"/>
  <c r="AV38" i="66"/>
  <c r="AQ38" i="66"/>
  <c r="AH38" i="66"/>
  <c r="II44" i="66" s="1"/>
  <c r="IO44" i="66" s="1"/>
  <c r="AG38" i="66"/>
  <c r="AB38" i="66"/>
  <c r="W38" i="66"/>
  <c r="U38" i="66"/>
  <c r="S38" i="66"/>
  <c r="HY44" i="66" s="1"/>
  <c r="IE44" i="66" s="1"/>
  <c r="R38" i="66"/>
  <c r="M38" i="66"/>
  <c r="H38" i="66"/>
  <c r="F38" i="66"/>
  <c r="LG37" i="66"/>
  <c r="LF37" i="66" s="1"/>
  <c r="LE37" i="66" s="1"/>
  <c r="LD37" i="66"/>
  <c r="LC37" i="66" s="1"/>
  <c r="LB37" i="66" s="1"/>
  <c r="LA37" i="66"/>
  <c r="KZ37" i="66"/>
  <c r="KY37" i="66" s="1"/>
  <c r="KX37" i="66"/>
  <c r="KW37" i="66" s="1"/>
  <c r="KV37" i="66" s="1"/>
  <c r="KU37" i="66"/>
  <c r="KT37" i="66"/>
  <c r="KS37" i="66" s="1"/>
  <c r="KR37" i="66"/>
  <c r="KQ37" i="66" s="1"/>
  <c r="KP37" i="66" s="1"/>
  <c r="KO37" i="66"/>
  <c r="KN37" i="66" s="1"/>
  <c r="KM37" i="66" s="1"/>
  <c r="KL37" i="66"/>
  <c r="KK37" i="66" s="1"/>
  <c r="KJ37" i="66" s="1"/>
  <c r="KI37" i="66"/>
  <c r="KH37" i="66" s="1"/>
  <c r="KG37" i="66" s="1"/>
  <c r="KF37" i="66"/>
  <c r="KE37" i="66" s="1"/>
  <c r="KD37" i="66" s="1"/>
  <c r="KC37" i="66"/>
  <c r="KB37" i="66"/>
  <c r="KA37" i="66" s="1"/>
  <c r="JZ37" i="66"/>
  <c r="JY37" i="66" s="1"/>
  <c r="JX37" i="66" s="1"/>
  <c r="JW37" i="66"/>
  <c r="JV37" i="66" s="1"/>
  <c r="JU37" i="66" s="1"/>
  <c r="JT37" i="66"/>
  <c r="JS37" i="66" s="1"/>
  <c r="JR37" i="66" s="1"/>
  <c r="JQ37" i="66"/>
  <c r="JP37" i="66" s="1"/>
  <c r="JO37" i="66" s="1"/>
  <c r="JN37" i="66"/>
  <c r="JM37" i="66" s="1"/>
  <c r="JL37" i="66"/>
  <c r="JB37" i="66"/>
  <c r="IW37" i="66"/>
  <c r="IQ37" i="66"/>
  <c r="C37" i="67" s="1"/>
  <c r="IN37" i="66"/>
  <c r="IM37" i="66"/>
  <c r="IK37" i="66"/>
  <c r="IJ37" i="66"/>
  <c r="IG37" i="66"/>
  <c r="C28" i="67" s="1"/>
  <c r="ID37" i="66"/>
  <c r="IC37" i="66"/>
  <c r="IA37" i="66"/>
  <c r="HZ37" i="66"/>
  <c r="HW37" i="66"/>
  <c r="C18" i="67" s="1"/>
  <c r="HT37" i="66"/>
  <c r="HS37" i="66"/>
  <c r="HQ37" i="66"/>
  <c r="HP37" i="66"/>
  <c r="HM37" i="66"/>
  <c r="HK37" i="66"/>
  <c r="HJ37" i="66"/>
  <c r="HH37" i="66"/>
  <c r="HC37" i="66"/>
  <c r="HA37" i="66"/>
  <c r="GZ37" i="66"/>
  <c r="GX37" i="66"/>
  <c r="FX37" i="66"/>
  <c r="FG37" i="66"/>
  <c r="FB37" i="66"/>
  <c r="FA37" i="66"/>
  <c r="EH37" i="66"/>
  <c r="DM37" i="66"/>
  <c r="CW37" i="66"/>
  <c r="CV37" i="66"/>
  <c r="BW37" i="66"/>
  <c r="BR37" i="66"/>
  <c r="BM37" i="66"/>
  <c r="AZ37" i="66"/>
  <c r="AV37" i="66"/>
  <c r="AQ37" i="66"/>
  <c r="AH37" i="66"/>
  <c r="AB37" i="66"/>
  <c r="W37" i="66"/>
  <c r="U37" i="66"/>
  <c r="S37" i="66"/>
  <c r="HY43" i="66" s="1"/>
  <c r="IE43" i="66" s="1"/>
  <c r="R37" i="66"/>
  <c r="M37" i="66"/>
  <c r="H37" i="66"/>
  <c r="F37" i="66"/>
  <c r="D37" i="66"/>
  <c r="HO43" i="66" s="1"/>
  <c r="HU43" i="66" s="1"/>
  <c r="C37" i="66"/>
  <c r="LG36" i="66"/>
  <c r="LF36" i="66" s="1"/>
  <c r="LE36" i="66" s="1"/>
  <c r="LD36" i="66"/>
  <c r="LC36" i="66" s="1"/>
  <c r="LB36" i="66" s="1"/>
  <c r="LA36" i="66"/>
  <c r="KZ36" i="66" s="1"/>
  <c r="KY36" i="66" s="1"/>
  <c r="KX36" i="66"/>
  <c r="KW36" i="66" s="1"/>
  <c r="KV36" i="66" s="1"/>
  <c r="KU36" i="66"/>
  <c r="KT36" i="66" s="1"/>
  <c r="KS36" i="66" s="1"/>
  <c r="KR36" i="66"/>
  <c r="KQ36" i="66"/>
  <c r="KP36" i="66" s="1"/>
  <c r="KO36" i="66"/>
  <c r="KN36" i="66" s="1"/>
  <c r="KM36" i="66" s="1"/>
  <c r="KL36" i="66"/>
  <c r="KK36" i="66"/>
  <c r="KJ36" i="66" s="1"/>
  <c r="KI36" i="66"/>
  <c r="KH36" i="66" s="1"/>
  <c r="KG36" i="66" s="1"/>
  <c r="KF36" i="66"/>
  <c r="KE36" i="66" s="1"/>
  <c r="KD36" i="66" s="1"/>
  <c r="KC36" i="66"/>
  <c r="KB36" i="66" s="1"/>
  <c r="KA36" i="66" s="1"/>
  <c r="JZ36" i="66"/>
  <c r="JY36" i="66"/>
  <c r="JX36" i="66" s="1"/>
  <c r="JW36" i="66"/>
  <c r="JV36" i="66" s="1"/>
  <c r="JU36" i="66" s="1"/>
  <c r="JT36" i="66"/>
  <c r="JS36" i="66" s="1"/>
  <c r="JR36" i="66" s="1"/>
  <c r="JQ36" i="66"/>
  <c r="JP36" i="66" s="1"/>
  <c r="JO36" i="66" s="1"/>
  <c r="JN36" i="66"/>
  <c r="JM36" i="66" s="1"/>
  <c r="JL36" i="66" s="1"/>
  <c r="JB36" i="66"/>
  <c r="IW36" i="66"/>
  <c r="HY36" i="66"/>
  <c r="IE36" i="66" s="1"/>
  <c r="IG36" i="66" s="1"/>
  <c r="G27" i="67" s="1"/>
  <c r="HX36" i="66"/>
  <c r="HO36" i="66"/>
  <c r="HP36" i="66" s="1"/>
  <c r="HN36" i="66"/>
  <c r="HM36" i="66"/>
  <c r="HK36" i="66"/>
  <c r="HJ36" i="66"/>
  <c r="HH36" i="66"/>
  <c r="HC36" i="66"/>
  <c r="HA36" i="66"/>
  <c r="GZ36" i="66"/>
  <c r="GX36" i="66"/>
  <c r="FX36" i="66"/>
  <c r="FG36" i="66"/>
  <c r="FB36" i="66"/>
  <c r="FA36" i="66"/>
  <c r="EH36" i="66"/>
  <c r="DM36" i="66"/>
  <c r="CW36" i="66"/>
  <c r="CV36" i="66"/>
  <c r="BV36" i="66"/>
  <c r="BQ36" i="66"/>
  <c r="BL36" i="66"/>
  <c r="AZ36" i="66"/>
  <c r="AV36" i="66"/>
  <c r="AQ36" i="66"/>
  <c r="AH36" i="66"/>
  <c r="AB36" i="66"/>
  <c r="W36" i="66"/>
  <c r="U36" i="66"/>
  <c r="S36" i="66"/>
  <c r="HY42" i="66" s="1"/>
  <c r="IE42" i="66" s="1"/>
  <c r="R36" i="66"/>
  <c r="M36" i="66"/>
  <c r="H36" i="66"/>
  <c r="F36" i="66"/>
  <c r="D36" i="66"/>
  <c r="HO42" i="66" s="1"/>
  <c r="HU42" i="66" s="1"/>
  <c r="C36" i="66"/>
  <c r="LG35" i="66"/>
  <c r="LF35" i="66" s="1"/>
  <c r="LE35" i="66" s="1"/>
  <c r="LD35" i="66"/>
  <c r="LC35" i="66" s="1"/>
  <c r="LB35" i="66" s="1"/>
  <c r="LA35" i="66"/>
  <c r="KZ35" i="66" s="1"/>
  <c r="KY35" i="66" s="1"/>
  <c r="KX35" i="66"/>
  <c r="KW35" i="66" s="1"/>
  <c r="KV35" i="66" s="1"/>
  <c r="KU35" i="66"/>
  <c r="KT35" i="66" s="1"/>
  <c r="KS35" i="66" s="1"/>
  <c r="KR35" i="66"/>
  <c r="KQ35" i="66" s="1"/>
  <c r="KP35" i="66" s="1"/>
  <c r="KO35" i="66"/>
  <c r="KN35" i="66" s="1"/>
  <c r="KM35" i="66" s="1"/>
  <c r="KL35" i="66"/>
  <c r="KK35" i="66"/>
  <c r="KJ35" i="66" s="1"/>
  <c r="KI35" i="66"/>
  <c r="KH35" i="66" s="1"/>
  <c r="KG35" i="66" s="1"/>
  <c r="KF35" i="66"/>
  <c r="KE35" i="66" s="1"/>
  <c r="KD35" i="66" s="1"/>
  <c r="KC35" i="66"/>
  <c r="KB35" i="66" s="1"/>
  <c r="KA35" i="66" s="1"/>
  <c r="JZ35" i="66"/>
  <c r="JY35" i="66"/>
  <c r="JX35" i="66" s="1"/>
  <c r="JW35" i="66"/>
  <c r="JV35" i="66" s="1"/>
  <c r="JU35" i="66" s="1"/>
  <c r="JT35" i="66"/>
  <c r="JS35" i="66" s="1"/>
  <c r="JR35" i="66" s="1"/>
  <c r="JQ35" i="66"/>
  <c r="JP35" i="66" s="1"/>
  <c r="JO35" i="66" s="1"/>
  <c r="JN35" i="66"/>
  <c r="JM35" i="66"/>
  <c r="JL35" i="66" s="1"/>
  <c r="JB35" i="66"/>
  <c r="IW35" i="66"/>
  <c r="IG35" i="66"/>
  <c r="F27" i="67" s="1"/>
  <c r="ID35" i="66"/>
  <c r="IC35" i="66"/>
  <c r="IA35" i="66"/>
  <c r="HZ35" i="66"/>
  <c r="HW35" i="66"/>
  <c r="F17" i="67" s="1"/>
  <c r="HT35" i="66"/>
  <c r="HS35" i="66"/>
  <c r="HQ35" i="66"/>
  <c r="HP35" i="66"/>
  <c r="HM35" i="66"/>
  <c r="HK35" i="66"/>
  <c r="HJ35" i="66"/>
  <c r="HH35" i="66"/>
  <c r="HC35" i="66"/>
  <c r="HA35" i="66"/>
  <c r="GZ35" i="66"/>
  <c r="GX35" i="66"/>
  <c r="GN35" i="66"/>
  <c r="GM35" i="66"/>
  <c r="GL35" i="66"/>
  <c r="FX35" i="66"/>
  <c r="FG35" i="66"/>
  <c r="FB35" i="66"/>
  <c r="FA35" i="66"/>
  <c r="EH35" i="66"/>
  <c r="DM35" i="66"/>
  <c r="CW35" i="66"/>
  <c r="CV35" i="66"/>
  <c r="BY35" i="66"/>
  <c r="BT35" i="66"/>
  <c r="BO35" i="66"/>
  <c r="AZ35" i="66"/>
  <c r="AV35" i="66"/>
  <c r="AQ35" i="66"/>
  <c r="AH35" i="66"/>
  <c r="II40" i="66" s="1"/>
  <c r="IO40" i="66" s="1"/>
  <c r="AB35" i="66"/>
  <c r="W35" i="66"/>
  <c r="U35" i="66"/>
  <c r="S35" i="66"/>
  <c r="HY40" i="66" s="1"/>
  <c r="IE40" i="66" s="1"/>
  <c r="R35" i="66"/>
  <c r="M35" i="66"/>
  <c r="H35" i="66"/>
  <c r="F35" i="66"/>
  <c r="D35" i="66"/>
  <c r="HO40" i="66" s="1"/>
  <c r="HU40" i="66" s="1"/>
  <c r="C35" i="66"/>
  <c r="LG34" i="66"/>
  <c r="LF34" i="66" s="1"/>
  <c r="LE34" i="66" s="1"/>
  <c r="LD34" i="66"/>
  <c r="LC34" i="66" s="1"/>
  <c r="LB34" i="66" s="1"/>
  <c r="LA34" i="66"/>
  <c r="KZ34" i="66" s="1"/>
  <c r="KY34" i="66" s="1"/>
  <c r="KX34" i="66"/>
  <c r="KW34" i="66" s="1"/>
  <c r="KV34" i="66" s="1"/>
  <c r="KU34" i="66"/>
  <c r="KT34" i="66" s="1"/>
  <c r="KS34" i="66" s="1"/>
  <c r="KR34" i="66"/>
  <c r="KQ34" i="66" s="1"/>
  <c r="KP34" i="66" s="1"/>
  <c r="KO34" i="66"/>
  <c r="KN34" i="66" s="1"/>
  <c r="KM34" i="66" s="1"/>
  <c r="KL34" i="66"/>
  <c r="KK34" i="66"/>
  <c r="KJ34" i="66" s="1"/>
  <c r="KI34" i="66"/>
  <c r="KH34" i="66" s="1"/>
  <c r="KG34" i="66" s="1"/>
  <c r="KF34" i="66"/>
  <c r="KE34" i="66" s="1"/>
  <c r="KD34" i="66" s="1"/>
  <c r="KC34" i="66"/>
  <c r="KB34" i="66" s="1"/>
  <c r="KA34" i="66" s="1"/>
  <c r="JZ34" i="66"/>
  <c r="JY34" i="66"/>
  <c r="JX34" i="66" s="1"/>
  <c r="JW34" i="66"/>
  <c r="JV34" i="66" s="1"/>
  <c r="JU34" i="66" s="1"/>
  <c r="JT34" i="66"/>
  <c r="JS34" i="66" s="1"/>
  <c r="JR34" i="66" s="1"/>
  <c r="JQ34" i="66"/>
  <c r="JP34" i="66" s="1"/>
  <c r="JO34" i="66" s="1"/>
  <c r="JN34" i="66"/>
  <c r="JM34" i="66" s="1"/>
  <c r="JL34" i="66" s="1"/>
  <c r="JB34" i="66"/>
  <c r="IW34" i="66"/>
  <c r="IG34" i="66"/>
  <c r="E27" i="67" s="1"/>
  <c r="ID34" i="66"/>
  <c r="IC34" i="66"/>
  <c r="IA34" i="66"/>
  <c r="HZ34" i="66"/>
  <c r="HW34" i="66"/>
  <c r="E17" i="67" s="1"/>
  <c r="HT34" i="66"/>
  <c r="HS34" i="66"/>
  <c r="HQ34" i="66"/>
  <c r="HP34" i="66"/>
  <c r="HM34" i="66"/>
  <c r="HK34" i="66"/>
  <c r="HJ34" i="66"/>
  <c r="HH34" i="66"/>
  <c r="HC34" i="66"/>
  <c r="HA34" i="66"/>
  <c r="GZ34" i="66"/>
  <c r="GX34" i="66"/>
  <c r="GO34" i="66"/>
  <c r="GM34" i="66"/>
  <c r="GL34" i="66"/>
  <c r="GK34" i="66"/>
  <c r="FX34" i="66"/>
  <c r="FG34" i="66"/>
  <c r="FB34" i="66"/>
  <c r="FA34" i="66"/>
  <c r="EH34" i="66"/>
  <c r="DM34" i="66"/>
  <c r="CW34" i="66"/>
  <c r="CV34" i="66"/>
  <c r="BX34" i="66"/>
  <c r="BS34" i="66"/>
  <c r="BN34" i="66"/>
  <c r="AZ34" i="66"/>
  <c r="AV34" i="66"/>
  <c r="AQ34" i="66"/>
  <c r="AH34" i="66"/>
  <c r="II39" i="66" s="1"/>
  <c r="IO39" i="66" s="1"/>
  <c r="AB34" i="66"/>
  <c r="W34" i="66"/>
  <c r="U34" i="66"/>
  <c r="S34" i="66"/>
  <c r="HY39" i="66" s="1"/>
  <c r="IE39" i="66" s="1"/>
  <c r="R34" i="66"/>
  <c r="M34" i="66"/>
  <c r="H34" i="66"/>
  <c r="F34" i="66"/>
  <c r="D34" i="66"/>
  <c r="HO39" i="66" s="1"/>
  <c r="HU39" i="66" s="1"/>
  <c r="C34" i="66"/>
  <c r="LG33" i="66"/>
  <c r="LF33" i="66" s="1"/>
  <c r="LE33" i="66" s="1"/>
  <c r="LD33" i="66"/>
  <c r="LC33" i="66" s="1"/>
  <c r="LB33" i="66" s="1"/>
  <c r="LA33" i="66"/>
  <c r="KZ33" i="66" s="1"/>
  <c r="KY33" i="66" s="1"/>
  <c r="KX33" i="66"/>
  <c r="KW33" i="66" s="1"/>
  <c r="KV33" i="66" s="1"/>
  <c r="KU33" i="66"/>
  <c r="KT33" i="66" s="1"/>
  <c r="KS33" i="66" s="1"/>
  <c r="KR33" i="66"/>
  <c r="KQ33" i="66" s="1"/>
  <c r="KP33" i="66" s="1"/>
  <c r="KO33" i="66"/>
  <c r="KN33" i="66" s="1"/>
  <c r="KM33" i="66" s="1"/>
  <c r="KL33" i="66"/>
  <c r="KK33" i="66" s="1"/>
  <c r="KJ33" i="66" s="1"/>
  <c r="KI33" i="66"/>
  <c r="KH33" i="66"/>
  <c r="KG33" i="66" s="1"/>
  <c r="KF33" i="66"/>
  <c r="KE33" i="66" s="1"/>
  <c r="KD33" i="66" s="1"/>
  <c r="KC33" i="66"/>
  <c r="KB33" i="66" s="1"/>
  <c r="KA33" i="66" s="1"/>
  <c r="JZ33" i="66"/>
  <c r="JY33" i="66" s="1"/>
  <c r="JX33" i="66" s="1"/>
  <c r="JW33" i="66"/>
  <c r="JV33" i="66"/>
  <c r="JU33" i="66" s="1"/>
  <c r="JT33" i="66"/>
  <c r="JS33" i="66" s="1"/>
  <c r="JR33" i="66" s="1"/>
  <c r="JQ33" i="66"/>
  <c r="JP33" i="66" s="1"/>
  <c r="JO33" i="66" s="1"/>
  <c r="JN33" i="66"/>
  <c r="JM33" i="66" s="1"/>
  <c r="JL33" i="66" s="1"/>
  <c r="JB33" i="66"/>
  <c r="IW33" i="66"/>
  <c r="IG33" i="66"/>
  <c r="D27" i="67" s="1"/>
  <c r="ID33" i="66"/>
  <c r="IC33" i="66"/>
  <c r="IA33" i="66"/>
  <c r="HZ33" i="66"/>
  <c r="HW33" i="66"/>
  <c r="D17" i="67" s="1"/>
  <c r="HT33" i="66"/>
  <c r="HS33" i="66"/>
  <c r="HQ33" i="66"/>
  <c r="HP33" i="66"/>
  <c r="HM33" i="66"/>
  <c r="HK33" i="66"/>
  <c r="HJ33" i="66"/>
  <c r="HH33" i="66"/>
  <c r="HC33" i="66"/>
  <c r="HA33" i="66"/>
  <c r="GZ33" i="66"/>
  <c r="GX33" i="66"/>
  <c r="GO33" i="66"/>
  <c r="GN33" i="66"/>
  <c r="GL33" i="66"/>
  <c r="FX33" i="66"/>
  <c r="FG33" i="66"/>
  <c r="FB33" i="66"/>
  <c r="FA33" i="66"/>
  <c r="EH33" i="66"/>
  <c r="DM33" i="66"/>
  <c r="CW33" i="66"/>
  <c r="CV33" i="66"/>
  <c r="BW33" i="66"/>
  <c r="BR33" i="66"/>
  <c r="BM33" i="66"/>
  <c r="AZ33" i="66"/>
  <c r="AV33" i="66"/>
  <c r="AQ33" i="66"/>
  <c r="AH33" i="66"/>
  <c r="II38" i="66" s="1"/>
  <c r="IO38" i="66" s="1"/>
  <c r="AB33" i="66"/>
  <c r="W33" i="66"/>
  <c r="U33" i="66"/>
  <c r="S33" i="66"/>
  <c r="HY38" i="66" s="1"/>
  <c r="IE38" i="66" s="1"/>
  <c r="R33" i="66"/>
  <c r="M33" i="66"/>
  <c r="H33" i="66"/>
  <c r="F33" i="66"/>
  <c r="D33" i="66"/>
  <c r="HO38" i="66" s="1"/>
  <c r="HU38" i="66" s="1"/>
  <c r="C33" i="66"/>
  <c r="LG32" i="66"/>
  <c r="LF32" i="66" s="1"/>
  <c r="LE32" i="66" s="1"/>
  <c r="LD32" i="66"/>
  <c r="LC32" i="66" s="1"/>
  <c r="LB32" i="66" s="1"/>
  <c r="LA32" i="66"/>
  <c r="KZ32" i="66" s="1"/>
  <c r="KY32" i="66" s="1"/>
  <c r="KX32" i="66"/>
  <c r="KW32" i="66"/>
  <c r="KV32" i="66" s="1"/>
  <c r="KU32" i="66"/>
  <c r="KT32" i="66" s="1"/>
  <c r="KS32" i="66" s="1"/>
  <c r="KR32" i="66"/>
  <c r="KQ32" i="66" s="1"/>
  <c r="KP32" i="66" s="1"/>
  <c r="KO32" i="66"/>
  <c r="KN32" i="66" s="1"/>
  <c r="KM32" i="66" s="1"/>
  <c r="KL32" i="66"/>
  <c r="KK32" i="66"/>
  <c r="KJ32" i="66" s="1"/>
  <c r="KI32" i="66"/>
  <c r="KH32" i="66" s="1"/>
  <c r="KG32" i="66" s="1"/>
  <c r="KF32" i="66"/>
  <c r="KE32" i="66" s="1"/>
  <c r="KD32" i="66" s="1"/>
  <c r="KC32" i="66"/>
  <c r="KB32" i="66" s="1"/>
  <c r="KA32" i="66" s="1"/>
  <c r="JZ32" i="66"/>
  <c r="JY32" i="66" s="1"/>
  <c r="JX32" i="66" s="1"/>
  <c r="JW32" i="66"/>
  <c r="JV32" i="66" s="1"/>
  <c r="JU32" i="66" s="1"/>
  <c r="JT32" i="66"/>
  <c r="JS32" i="66" s="1"/>
  <c r="JR32" i="66" s="1"/>
  <c r="JQ32" i="66"/>
  <c r="JP32" i="66" s="1"/>
  <c r="JO32" i="66" s="1"/>
  <c r="JN32" i="66"/>
  <c r="JM32" i="66" s="1"/>
  <c r="JL32" i="66" s="1"/>
  <c r="JB32" i="66"/>
  <c r="IW32" i="66"/>
  <c r="IG32" i="66"/>
  <c r="C27" i="67" s="1"/>
  <c r="ID32" i="66"/>
  <c r="IC32" i="66"/>
  <c r="IA32" i="66"/>
  <c r="HZ32" i="66"/>
  <c r="HW32" i="66"/>
  <c r="C17" i="67" s="1"/>
  <c r="HT32" i="66"/>
  <c r="HS32" i="66"/>
  <c r="HQ32" i="66"/>
  <c r="HP32" i="66"/>
  <c r="HM32" i="66"/>
  <c r="HK32" i="66"/>
  <c r="HJ32" i="66"/>
  <c r="HH32" i="66"/>
  <c r="HC32" i="66"/>
  <c r="HA32" i="66"/>
  <c r="GZ32" i="66"/>
  <c r="GX32" i="66"/>
  <c r="GO32" i="66"/>
  <c r="GN32" i="66"/>
  <c r="GM32" i="66"/>
  <c r="FX32" i="66"/>
  <c r="FG32" i="66"/>
  <c r="FB32" i="66"/>
  <c r="FA32" i="66"/>
  <c r="EH32" i="66"/>
  <c r="DM32" i="66"/>
  <c r="CW32" i="66"/>
  <c r="CV32" i="66"/>
  <c r="BV32" i="66"/>
  <c r="BQ32" i="66"/>
  <c r="BL32" i="66"/>
  <c r="AZ32" i="66"/>
  <c r="AV32" i="66"/>
  <c r="AQ32" i="66"/>
  <c r="AH32" i="66"/>
  <c r="AB32" i="66"/>
  <c r="W32" i="66"/>
  <c r="U32" i="66"/>
  <c r="S32" i="66"/>
  <c r="HY37" i="66" s="1"/>
  <c r="IE37" i="66" s="1"/>
  <c r="R32" i="66"/>
  <c r="M32" i="66"/>
  <c r="H32" i="66"/>
  <c r="F32" i="66"/>
  <c r="D32" i="66"/>
  <c r="HO37" i="66" s="1"/>
  <c r="HU37" i="66" s="1"/>
  <c r="C32" i="66"/>
  <c r="LG31" i="66"/>
  <c r="LF31" i="66" s="1"/>
  <c r="LE31" i="66" s="1"/>
  <c r="LD31" i="66"/>
  <c r="LC31" i="66" s="1"/>
  <c r="LB31" i="66" s="1"/>
  <c r="LA31" i="66"/>
  <c r="KZ31" i="66" s="1"/>
  <c r="KY31" i="66" s="1"/>
  <c r="KX31" i="66"/>
  <c r="KW31" i="66" s="1"/>
  <c r="KV31" i="66" s="1"/>
  <c r="KU31" i="66"/>
  <c r="KT31" i="66" s="1"/>
  <c r="KS31" i="66" s="1"/>
  <c r="KR31" i="66"/>
  <c r="KQ31" i="66" s="1"/>
  <c r="KP31" i="66" s="1"/>
  <c r="KO31" i="66"/>
  <c r="KN31" i="66" s="1"/>
  <c r="KM31" i="66" s="1"/>
  <c r="KL31" i="66"/>
  <c r="KK31" i="66" s="1"/>
  <c r="KJ31" i="66" s="1"/>
  <c r="KI31" i="66"/>
  <c r="KH31" i="66" s="1"/>
  <c r="KG31" i="66" s="1"/>
  <c r="KF31" i="66"/>
  <c r="KE31" i="66" s="1"/>
  <c r="KD31" i="66" s="1"/>
  <c r="KC31" i="66"/>
  <c r="KB31" i="66" s="1"/>
  <c r="KA31" i="66" s="1"/>
  <c r="JZ31" i="66"/>
  <c r="JY31" i="66" s="1"/>
  <c r="JX31" i="66" s="1"/>
  <c r="JW31" i="66"/>
  <c r="JV31" i="66" s="1"/>
  <c r="JU31" i="66" s="1"/>
  <c r="JT31" i="66"/>
  <c r="JS31" i="66" s="1"/>
  <c r="JR31" i="66" s="1"/>
  <c r="JQ31" i="66"/>
  <c r="JP31" i="66" s="1"/>
  <c r="JO31" i="66" s="1"/>
  <c r="JN31" i="66"/>
  <c r="JM31" i="66" s="1"/>
  <c r="JL31" i="66" s="1"/>
  <c r="JB31" i="66"/>
  <c r="IW31" i="66"/>
  <c r="IO31" i="66"/>
  <c r="IQ31" i="66" s="1"/>
  <c r="G35" i="67" s="1"/>
  <c r="II31" i="66"/>
  <c r="IJ31" i="66" s="1"/>
  <c r="IH31" i="66"/>
  <c r="HY31" i="66"/>
  <c r="HZ31" i="66" s="1"/>
  <c r="HX31" i="66"/>
  <c r="HO31" i="66"/>
  <c r="HU31" i="66" s="1"/>
  <c r="HW31" i="66" s="1"/>
  <c r="G15" i="67" s="1"/>
  <c r="HN31" i="66"/>
  <c r="HM31" i="66"/>
  <c r="HK31" i="66"/>
  <c r="HJ31" i="66"/>
  <c r="HH31" i="66"/>
  <c r="HC31" i="66"/>
  <c r="HA31" i="66"/>
  <c r="GZ31" i="66"/>
  <c r="GX31" i="66"/>
  <c r="FX31" i="66"/>
  <c r="FG31" i="66"/>
  <c r="FB31" i="66"/>
  <c r="FA31" i="66"/>
  <c r="EH31" i="66"/>
  <c r="DM31" i="66"/>
  <c r="CW31" i="66"/>
  <c r="CV31" i="66"/>
  <c r="BT31" i="66"/>
  <c r="BO31" i="66"/>
  <c r="AB31" i="66"/>
  <c r="W31" i="66"/>
  <c r="U31" i="66"/>
  <c r="M31" i="66"/>
  <c r="H31" i="66"/>
  <c r="F31" i="66"/>
  <c r="D31" i="66"/>
  <c r="HO35" i="66" s="1"/>
  <c r="HU35" i="66" s="1"/>
  <c r="C31" i="66"/>
  <c r="LG30" i="66"/>
  <c r="LF30" i="66" s="1"/>
  <c r="LE30" i="66" s="1"/>
  <c r="LD30" i="66"/>
  <c r="LC30" i="66" s="1"/>
  <c r="LB30" i="66" s="1"/>
  <c r="LA30" i="66"/>
  <c r="KZ30" i="66"/>
  <c r="KY30" i="66" s="1"/>
  <c r="KX30" i="66"/>
  <c r="KW30" i="66" s="1"/>
  <c r="KV30" i="66" s="1"/>
  <c r="KU30" i="66"/>
  <c r="KT30" i="66" s="1"/>
  <c r="KS30" i="66" s="1"/>
  <c r="KR30" i="66"/>
  <c r="KQ30" i="66" s="1"/>
  <c r="KP30" i="66" s="1"/>
  <c r="KO30" i="66"/>
  <c r="KN30" i="66"/>
  <c r="KM30" i="66" s="1"/>
  <c r="KL30" i="66"/>
  <c r="KK30" i="66" s="1"/>
  <c r="KJ30" i="66" s="1"/>
  <c r="KI30" i="66"/>
  <c r="KH30" i="66" s="1"/>
  <c r="KG30" i="66" s="1"/>
  <c r="KF30" i="66"/>
  <c r="KE30" i="66" s="1"/>
  <c r="KD30" i="66" s="1"/>
  <c r="KC30" i="66"/>
  <c r="KB30" i="66"/>
  <c r="KA30" i="66" s="1"/>
  <c r="JZ30" i="66"/>
  <c r="JY30" i="66" s="1"/>
  <c r="JX30" i="66" s="1"/>
  <c r="JW30" i="66"/>
  <c r="JV30" i="66" s="1"/>
  <c r="JU30" i="66" s="1"/>
  <c r="JT30" i="66"/>
  <c r="JS30" i="66" s="1"/>
  <c r="JR30" i="66" s="1"/>
  <c r="JQ30" i="66"/>
  <c r="JP30" i="66" s="1"/>
  <c r="JO30" i="66" s="1"/>
  <c r="JN30" i="66"/>
  <c r="JM30" i="66" s="1"/>
  <c r="JL30" i="66" s="1"/>
  <c r="JB30" i="66"/>
  <c r="IW30" i="66"/>
  <c r="IQ30" i="66"/>
  <c r="F35" i="67" s="1"/>
  <c r="IN30" i="66"/>
  <c r="IM30" i="66"/>
  <c r="IK30" i="66"/>
  <c r="IJ30" i="66"/>
  <c r="IG30" i="66"/>
  <c r="F25" i="67" s="1"/>
  <c r="ID30" i="66"/>
  <c r="IC30" i="66"/>
  <c r="IA30" i="66"/>
  <c r="HZ30" i="66"/>
  <c r="HW30" i="66"/>
  <c r="F15" i="67" s="1"/>
  <c r="HT30" i="66"/>
  <c r="HS30" i="66"/>
  <c r="HQ30" i="66"/>
  <c r="HP30" i="66"/>
  <c r="HM30" i="66"/>
  <c r="HK30" i="66"/>
  <c r="HJ30" i="66"/>
  <c r="HH30" i="66"/>
  <c r="HC30" i="66"/>
  <c r="HA30" i="66"/>
  <c r="GZ30" i="66"/>
  <c r="GX30" i="66"/>
  <c r="GN30" i="66"/>
  <c r="GM30" i="66"/>
  <c r="GL30" i="66"/>
  <c r="FX30" i="66"/>
  <c r="FG30" i="66"/>
  <c r="FB30" i="66"/>
  <c r="FA30" i="66"/>
  <c r="EH30" i="66"/>
  <c r="DM30" i="66"/>
  <c r="CW30" i="66"/>
  <c r="CV30" i="66"/>
  <c r="BS30" i="66"/>
  <c r="BN30" i="66"/>
  <c r="AB30" i="66"/>
  <c r="W30" i="66"/>
  <c r="U30" i="66"/>
  <c r="S30" i="66"/>
  <c r="HY34" i="66" s="1"/>
  <c r="IE34" i="66" s="1"/>
  <c r="R30" i="66"/>
  <c r="M30" i="66"/>
  <c r="H30" i="66"/>
  <c r="F30" i="66"/>
  <c r="D30" i="66"/>
  <c r="HO34" i="66" s="1"/>
  <c r="HU34" i="66" s="1"/>
  <c r="C30" i="66"/>
  <c r="LG29" i="66"/>
  <c r="LF29" i="66" s="1"/>
  <c r="LE29" i="66" s="1"/>
  <c r="LD29" i="66"/>
  <c r="LC29" i="66" s="1"/>
  <c r="LB29" i="66" s="1"/>
  <c r="LA29" i="66"/>
  <c r="KZ29" i="66" s="1"/>
  <c r="KY29" i="66" s="1"/>
  <c r="KX29" i="66"/>
  <c r="KW29" i="66" s="1"/>
  <c r="KV29" i="66" s="1"/>
  <c r="KU29" i="66"/>
  <c r="KT29" i="66"/>
  <c r="KS29" i="66" s="1"/>
  <c r="KR29" i="66"/>
  <c r="KQ29" i="66" s="1"/>
  <c r="KP29" i="66" s="1"/>
  <c r="KO29" i="66"/>
  <c r="KN29" i="66" s="1"/>
  <c r="KM29" i="66" s="1"/>
  <c r="KL29" i="66"/>
  <c r="KK29" i="66" s="1"/>
  <c r="KJ29" i="66" s="1"/>
  <c r="KI29" i="66"/>
  <c r="KH29" i="66"/>
  <c r="KG29" i="66" s="1"/>
  <c r="KF29" i="66"/>
  <c r="KE29" i="66" s="1"/>
  <c r="KD29" i="66" s="1"/>
  <c r="KC29" i="66"/>
  <c r="KB29" i="66" s="1"/>
  <c r="KA29" i="66" s="1"/>
  <c r="JZ29" i="66"/>
  <c r="JY29" i="66" s="1"/>
  <c r="JX29" i="66" s="1"/>
  <c r="JW29" i="66"/>
  <c r="JV29" i="66"/>
  <c r="JU29" i="66" s="1"/>
  <c r="JT29" i="66"/>
  <c r="JS29" i="66" s="1"/>
  <c r="JR29" i="66" s="1"/>
  <c r="JQ29" i="66"/>
  <c r="JP29" i="66" s="1"/>
  <c r="JO29" i="66" s="1"/>
  <c r="JN29" i="66"/>
  <c r="JM29" i="66" s="1"/>
  <c r="JL29" i="66" s="1"/>
  <c r="JB29" i="66"/>
  <c r="IW29" i="66"/>
  <c r="IQ29" i="66"/>
  <c r="E35" i="67" s="1"/>
  <c r="IN29" i="66"/>
  <c r="IM29" i="66"/>
  <c r="IK29" i="66"/>
  <c r="IJ29" i="66"/>
  <c r="IG29" i="66"/>
  <c r="E25" i="67" s="1"/>
  <c r="ID29" i="66"/>
  <c r="IC29" i="66"/>
  <c r="IA29" i="66"/>
  <c r="HZ29" i="66"/>
  <c r="HW29" i="66"/>
  <c r="E15" i="67" s="1"/>
  <c r="HT29" i="66"/>
  <c r="HS29" i="66"/>
  <c r="HQ29" i="66"/>
  <c r="HP29" i="66"/>
  <c r="HM29" i="66"/>
  <c r="HK29" i="66"/>
  <c r="HJ29" i="66"/>
  <c r="HH29" i="66"/>
  <c r="HC29" i="66"/>
  <c r="HA29" i="66"/>
  <c r="GZ29" i="66"/>
  <c r="GX29" i="66"/>
  <c r="GO29" i="66"/>
  <c r="GM29" i="66"/>
  <c r="GL29" i="66"/>
  <c r="FX29" i="66"/>
  <c r="FG29" i="66"/>
  <c r="FB29" i="66"/>
  <c r="FA29" i="66"/>
  <c r="EH29" i="66"/>
  <c r="DM29" i="66"/>
  <c r="CW29" i="66"/>
  <c r="CV29" i="66"/>
  <c r="CA29" i="66"/>
  <c r="BR29" i="66"/>
  <c r="BM29" i="66"/>
  <c r="BF29" i="66"/>
  <c r="BE29" i="66"/>
  <c r="BD29" i="66" s="1"/>
  <c r="D24" i="68" s="1"/>
  <c r="AU29" i="66"/>
  <c r="AT29" i="66"/>
  <c r="AB29" i="66"/>
  <c r="W29" i="66"/>
  <c r="U29" i="66"/>
  <c r="S29" i="66"/>
  <c r="HY33" i="66" s="1"/>
  <c r="IE33" i="66" s="1"/>
  <c r="R29" i="66"/>
  <c r="M29" i="66"/>
  <c r="H29" i="66"/>
  <c r="F29" i="66"/>
  <c r="D29" i="66"/>
  <c r="HO33" i="66" s="1"/>
  <c r="HU33" i="66" s="1"/>
  <c r="C29" i="66"/>
  <c r="LG28" i="66"/>
  <c r="LF28" i="66" s="1"/>
  <c r="LE28" i="66" s="1"/>
  <c r="LD28" i="66"/>
  <c r="LC28" i="66" s="1"/>
  <c r="LB28" i="66" s="1"/>
  <c r="LA28" i="66"/>
  <c r="KZ28" i="66" s="1"/>
  <c r="KY28" i="66" s="1"/>
  <c r="KX28" i="66"/>
  <c r="KW28" i="66" s="1"/>
  <c r="KV28" i="66" s="1"/>
  <c r="KU28" i="66"/>
  <c r="KT28" i="66" s="1"/>
  <c r="KS28" i="66" s="1"/>
  <c r="KR28" i="66"/>
  <c r="KQ28" i="66" s="1"/>
  <c r="KP28" i="66" s="1"/>
  <c r="KO28" i="66"/>
  <c r="KN28" i="66"/>
  <c r="KM28" i="66" s="1"/>
  <c r="KL28" i="66"/>
  <c r="KK28" i="66" s="1"/>
  <c r="KJ28" i="66" s="1"/>
  <c r="KI28" i="66"/>
  <c r="KH28" i="66" s="1"/>
  <c r="KG28" i="66" s="1"/>
  <c r="KF28" i="66"/>
  <c r="KE28" i="66" s="1"/>
  <c r="KD28" i="66" s="1"/>
  <c r="KC28" i="66"/>
  <c r="KB28" i="66"/>
  <c r="KA28" i="66" s="1"/>
  <c r="JZ28" i="66"/>
  <c r="JY28" i="66" s="1"/>
  <c r="JX28" i="66" s="1"/>
  <c r="JW28" i="66"/>
  <c r="JV28" i="66" s="1"/>
  <c r="JU28" i="66" s="1"/>
  <c r="JT28" i="66"/>
  <c r="JS28" i="66" s="1"/>
  <c r="JR28" i="66" s="1"/>
  <c r="JQ28" i="66"/>
  <c r="JP28" i="66"/>
  <c r="JO28" i="66" s="1"/>
  <c r="JN28" i="66"/>
  <c r="JM28" i="66" s="1"/>
  <c r="JL28" i="66" s="1"/>
  <c r="JB28" i="66"/>
  <c r="IW28" i="66"/>
  <c r="IQ28" i="66"/>
  <c r="D35" i="67" s="1"/>
  <c r="IN28" i="66"/>
  <c r="IM28" i="66"/>
  <c r="IK28" i="66"/>
  <c r="IJ28" i="66"/>
  <c r="IG28" i="66"/>
  <c r="D25" i="67" s="1"/>
  <c r="ID28" i="66"/>
  <c r="IC28" i="66"/>
  <c r="IA28" i="66"/>
  <c r="HZ28" i="66"/>
  <c r="HW28" i="66"/>
  <c r="D15" i="67" s="1"/>
  <c r="HT28" i="66"/>
  <c r="HS28" i="66"/>
  <c r="HQ28" i="66"/>
  <c r="HP28" i="66"/>
  <c r="HM28" i="66"/>
  <c r="HK28" i="66"/>
  <c r="HJ28" i="66"/>
  <c r="HH28" i="66"/>
  <c r="HC28" i="66"/>
  <c r="HA28" i="66"/>
  <c r="GZ28" i="66"/>
  <c r="GX28" i="66"/>
  <c r="GO28" i="66"/>
  <c r="GN28" i="66"/>
  <c r="GL28" i="66"/>
  <c r="FX28" i="66"/>
  <c r="FG28" i="66"/>
  <c r="FF28" i="66"/>
  <c r="FB28" i="66"/>
  <c r="FA28" i="66"/>
  <c r="EH28" i="66"/>
  <c r="DM28" i="66"/>
  <c r="CW28" i="66"/>
  <c r="CV28" i="66"/>
  <c r="CA28" i="66"/>
  <c r="BQ28" i="66"/>
  <c r="BL28" i="66"/>
  <c r="BF28" i="66"/>
  <c r="BE28" i="66"/>
  <c r="BD28" i="66" s="1"/>
  <c r="D23" i="68" s="1"/>
  <c r="AU28" i="66"/>
  <c r="AT28" i="66"/>
  <c r="AB28" i="66"/>
  <c r="W28" i="66"/>
  <c r="U28" i="66"/>
  <c r="S28" i="66"/>
  <c r="HY32" i="66" s="1"/>
  <c r="IE32" i="66" s="1"/>
  <c r="R28" i="66"/>
  <c r="M28" i="66"/>
  <c r="H28" i="66"/>
  <c r="F28" i="66"/>
  <c r="D28" i="66"/>
  <c r="HO32" i="66" s="1"/>
  <c r="HU32" i="66" s="1"/>
  <c r="C28" i="66"/>
  <c r="LG27" i="66"/>
  <c r="LF27" i="66" s="1"/>
  <c r="LE27" i="66" s="1"/>
  <c r="LD27" i="66"/>
  <c r="LC27" i="66" s="1"/>
  <c r="LB27" i="66" s="1"/>
  <c r="LA27" i="66"/>
  <c r="KZ27" i="66"/>
  <c r="KY27" i="66" s="1"/>
  <c r="KX27" i="66"/>
  <c r="KW27" i="66" s="1"/>
  <c r="KV27" i="66" s="1"/>
  <c r="KU27" i="66"/>
  <c r="KT27" i="66" s="1"/>
  <c r="KS27" i="66" s="1"/>
  <c r="KR27" i="66"/>
  <c r="KQ27" i="66" s="1"/>
  <c r="KP27" i="66" s="1"/>
  <c r="KO27" i="66"/>
  <c r="KN27" i="66"/>
  <c r="KM27" i="66" s="1"/>
  <c r="KL27" i="66"/>
  <c r="KK27" i="66" s="1"/>
  <c r="KJ27" i="66" s="1"/>
  <c r="KI27" i="66"/>
  <c r="KH27" i="66" s="1"/>
  <c r="KG27" i="66" s="1"/>
  <c r="KF27" i="66"/>
  <c r="KE27" i="66" s="1"/>
  <c r="KD27" i="66" s="1"/>
  <c r="KC27" i="66"/>
  <c r="KB27" i="66" s="1"/>
  <c r="KA27" i="66" s="1"/>
  <c r="JZ27" i="66"/>
  <c r="JY27" i="66" s="1"/>
  <c r="JX27" i="66" s="1"/>
  <c r="JW27" i="66"/>
  <c r="JV27" i="66" s="1"/>
  <c r="JU27" i="66" s="1"/>
  <c r="JT27" i="66"/>
  <c r="JS27" i="66" s="1"/>
  <c r="JR27" i="66" s="1"/>
  <c r="JQ27" i="66"/>
  <c r="JP27" i="66"/>
  <c r="JO27" i="66" s="1"/>
  <c r="JN27" i="66"/>
  <c r="JM27" i="66" s="1"/>
  <c r="JL27" i="66" s="1"/>
  <c r="JG27" i="66"/>
  <c r="JB27" i="66"/>
  <c r="IW27" i="66"/>
  <c r="IQ27" i="66"/>
  <c r="C35" i="67" s="1"/>
  <c r="IN27" i="66"/>
  <c r="IM27" i="66"/>
  <c r="IK27" i="66"/>
  <c r="IJ27" i="66"/>
  <c r="IG27" i="66"/>
  <c r="C25" i="67" s="1"/>
  <c r="ID27" i="66"/>
  <c r="IC27" i="66"/>
  <c r="IA27" i="66"/>
  <c r="HZ27" i="66"/>
  <c r="HW27" i="66"/>
  <c r="C15" i="67" s="1"/>
  <c r="HT27" i="66"/>
  <c r="HS27" i="66"/>
  <c r="HQ27" i="66"/>
  <c r="HP27" i="66"/>
  <c r="HM27" i="66"/>
  <c r="HK27" i="66"/>
  <c r="HJ27" i="66"/>
  <c r="HH27" i="66"/>
  <c r="HC27" i="66"/>
  <c r="HA27" i="66"/>
  <c r="GZ27" i="66"/>
  <c r="GX27" i="66"/>
  <c r="GO27" i="66"/>
  <c r="GN27" i="66"/>
  <c r="GM27" i="66"/>
  <c r="FX27" i="66"/>
  <c r="FG27" i="66"/>
  <c r="FB27" i="66"/>
  <c r="FA27" i="66"/>
  <c r="EH27" i="66"/>
  <c r="DM27" i="66"/>
  <c r="CW27" i="66"/>
  <c r="CV27" i="66"/>
  <c r="BY27" i="66"/>
  <c r="BT27" i="66"/>
  <c r="BO27" i="66"/>
  <c r="BF27" i="66"/>
  <c r="BE27" i="66"/>
  <c r="BD27" i="66" s="1"/>
  <c r="D22" i="68" s="1"/>
  <c r="AU27" i="66"/>
  <c r="AT27" i="66"/>
  <c r="AQ27" i="66"/>
  <c r="AL27" i="66"/>
  <c r="AJ27" i="66"/>
  <c r="AH27" i="66"/>
  <c r="II30" i="66" s="1"/>
  <c r="IO30" i="66" s="1"/>
  <c r="AG27" i="66"/>
  <c r="AB27" i="66"/>
  <c r="W27" i="66"/>
  <c r="U27" i="66"/>
  <c r="S27" i="66"/>
  <c r="HY30" i="66" s="1"/>
  <c r="IE30" i="66" s="1"/>
  <c r="R27" i="66"/>
  <c r="M27" i="66"/>
  <c r="H27" i="66"/>
  <c r="F27" i="66"/>
  <c r="D27" i="66"/>
  <c r="HO30" i="66" s="1"/>
  <c r="HU30" i="66" s="1"/>
  <c r="C27" i="66"/>
  <c r="LG26" i="66"/>
  <c r="LF26" i="66" s="1"/>
  <c r="LE26" i="66" s="1"/>
  <c r="LD26" i="66"/>
  <c r="LC26" i="66" s="1"/>
  <c r="LB26" i="66" s="1"/>
  <c r="LA26" i="66"/>
  <c r="KZ26" i="66" s="1"/>
  <c r="KY26" i="66" s="1"/>
  <c r="KX26" i="66"/>
  <c r="KW26" i="66"/>
  <c r="KV26" i="66" s="1"/>
  <c r="KU26" i="66"/>
  <c r="KT26" i="66" s="1"/>
  <c r="KS26" i="66" s="1"/>
  <c r="KR26" i="66"/>
  <c r="KQ26" i="66" s="1"/>
  <c r="KP26" i="66" s="1"/>
  <c r="KO26" i="66"/>
  <c r="KN26" i="66" s="1"/>
  <c r="KM26" i="66" s="1"/>
  <c r="KL26" i="66"/>
  <c r="KK26" i="66"/>
  <c r="KJ26" i="66" s="1"/>
  <c r="KI26" i="66"/>
  <c r="KH26" i="66" s="1"/>
  <c r="KG26" i="66" s="1"/>
  <c r="KF26" i="66"/>
  <c r="KE26" i="66" s="1"/>
  <c r="KD26" i="66" s="1"/>
  <c r="KC26" i="66"/>
  <c r="KB26" i="66" s="1"/>
  <c r="KA26" i="66" s="1"/>
  <c r="JZ26" i="66"/>
  <c r="JY26" i="66" s="1"/>
  <c r="JX26" i="66" s="1"/>
  <c r="JW26" i="66"/>
  <c r="JV26" i="66" s="1"/>
  <c r="JU26" i="66" s="1"/>
  <c r="JT26" i="66"/>
  <c r="JS26" i="66" s="1"/>
  <c r="JR26" i="66" s="1"/>
  <c r="JQ26" i="66"/>
  <c r="JP26" i="66" s="1"/>
  <c r="JO26" i="66" s="1"/>
  <c r="JN26" i="66"/>
  <c r="JM26" i="66" s="1"/>
  <c r="JL26" i="66" s="1"/>
  <c r="JG26" i="66"/>
  <c r="JB26" i="66"/>
  <c r="IW26" i="66"/>
  <c r="II26" i="66"/>
  <c r="IO26" i="66" s="1"/>
  <c r="IQ26" i="66" s="1"/>
  <c r="G34" i="67" s="1"/>
  <c r="IH26" i="66"/>
  <c r="HZ26" i="66"/>
  <c r="HY26" i="66"/>
  <c r="IE26" i="66" s="1"/>
  <c r="IG26" i="66" s="1"/>
  <c r="G24" i="67" s="1"/>
  <c r="HX26" i="66"/>
  <c r="HO26" i="66"/>
  <c r="HP26" i="66" s="1"/>
  <c r="HN26" i="66"/>
  <c r="HM26" i="66"/>
  <c r="HK26" i="66"/>
  <c r="HJ26" i="66"/>
  <c r="HH26" i="66"/>
  <c r="HC26" i="66"/>
  <c r="HA26" i="66"/>
  <c r="GZ26" i="66"/>
  <c r="GX26" i="66"/>
  <c r="EX26" i="66"/>
  <c r="EW26" i="66"/>
  <c r="EV26" i="66"/>
  <c r="EU26" i="66"/>
  <c r="ES26" i="66"/>
  <c r="ER26" i="66"/>
  <c r="EQ26" i="66"/>
  <c r="EP26" i="66"/>
  <c r="EO26" i="66"/>
  <c r="EN26" i="66"/>
  <c r="EM26" i="66"/>
  <c r="EL26" i="66"/>
  <c r="EK26" i="66"/>
  <c r="EJ26" i="66"/>
  <c r="EI26" i="66"/>
  <c r="EG26" i="66"/>
  <c r="EF26" i="66"/>
  <c r="EE26" i="66"/>
  <c r="ED26" i="66"/>
  <c r="EB26" i="66"/>
  <c r="EA26" i="66"/>
  <c r="DZ26" i="66"/>
  <c r="DY26" i="66"/>
  <c r="DX26" i="66"/>
  <c r="DW26" i="66"/>
  <c r="DV26" i="66"/>
  <c r="DU26" i="66"/>
  <c r="DT26" i="66"/>
  <c r="DS26" i="66"/>
  <c r="DR26" i="66"/>
  <c r="BX26" i="66"/>
  <c r="BS26" i="66"/>
  <c r="BN26" i="66"/>
  <c r="BF26" i="66"/>
  <c r="BE26" i="66"/>
  <c r="BD26" i="66" s="1"/>
  <c r="D21" i="68" s="1"/>
  <c r="AU26" i="66"/>
  <c r="AT26" i="66"/>
  <c r="AQ26" i="66"/>
  <c r="AL26" i="66"/>
  <c r="AJ26" i="66"/>
  <c r="AH26" i="66"/>
  <c r="II29" i="66" s="1"/>
  <c r="IO29" i="66" s="1"/>
  <c r="AG26" i="66"/>
  <c r="AB26" i="66"/>
  <c r="W26" i="66"/>
  <c r="U26" i="66"/>
  <c r="S26" i="66"/>
  <c r="HY29" i="66" s="1"/>
  <c r="IE29" i="66" s="1"/>
  <c r="R26" i="66"/>
  <c r="M26" i="66"/>
  <c r="H26" i="66"/>
  <c r="F26" i="66"/>
  <c r="D26" i="66"/>
  <c r="HO29" i="66" s="1"/>
  <c r="HU29" i="66" s="1"/>
  <c r="C26" i="66"/>
  <c r="LG25" i="66"/>
  <c r="LF25" i="66" s="1"/>
  <c r="LE25" i="66" s="1"/>
  <c r="LD25" i="66"/>
  <c r="LC25" i="66"/>
  <c r="LB25" i="66" s="1"/>
  <c r="LA25" i="66"/>
  <c r="KZ25" i="66" s="1"/>
  <c r="KY25" i="66" s="1"/>
  <c r="KX25" i="66"/>
  <c r="KW25" i="66" s="1"/>
  <c r="KV25" i="66" s="1"/>
  <c r="KU25" i="66"/>
  <c r="KT25" i="66" s="1"/>
  <c r="KS25" i="66" s="1"/>
  <c r="KR25" i="66"/>
  <c r="KQ25" i="66" s="1"/>
  <c r="KP25" i="66" s="1"/>
  <c r="KO25" i="66"/>
  <c r="KN25" i="66" s="1"/>
  <c r="KM25" i="66" s="1"/>
  <c r="KL25" i="66"/>
  <c r="KK25" i="66" s="1"/>
  <c r="KJ25" i="66" s="1"/>
  <c r="KI25" i="66"/>
  <c r="KH25" i="66" s="1"/>
  <c r="KG25" i="66" s="1"/>
  <c r="KF25" i="66"/>
  <c r="KE25" i="66"/>
  <c r="KD25" i="66" s="1"/>
  <c r="KC25" i="66"/>
  <c r="KB25" i="66" s="1"/>
  <c r="KA25" i="66" s="1"/>
  <c r="JZ25" i="66"/>
  <c r="JY25" i="66" s="1"/>
  <c r="JX25" i="66" s="1"/>
  <c r="JW25" i="66"/>
  <c r="JV25" i="66" s="1"/>
  <c r="JU25" i="66" s="1"/>
  <c r="JT25" i="66"/>
  <c r="JS25" i="66"/>
  <c r="JR25" i="66" s="1"/>
  <c r="JQ25" i="66"/>
  <c r="JP25" i="66" s="1"/>
  <c r="JO25" i="66" s="1"/>
  <c r="JN25" i="66"/>
  <c r="JM25" i="66" s="1"/>
  <c r="JL25" i="66" s="1"/>
  <c r="JG25" i="66"/>
  <c r="JB25" i="66"/>
  <c r="IW25" i="66"/>
  <c r="IQ25" i="66"/>
  <c r="F34" i="67" s="1"/>
  <c r="IN25" i="66"/>
  <c r="IM25" i="66"/>
  <c r="IK25" i="66"/>
  <c r="IJ25" i="66"/>
  <c r="IG25" i="66"/>
  <c r="F24" i="67" s="1"/>
  <c r="ID25" i="66"/>
  <c r="IC25" i="66"/>
  <c r="IA25" i="66"/>
  <c r="HZ25" i="66"/>
  <c r="HW25" i="66"/>
  <c r="F14" i="67" s="1"/>
  <c r="HT25" i="66"/>
  <c r="HS25" i="66"/>
  <c r="HQ25" i="66"/>
  <c r="HP25" i="66"/>
  <c r="HM25" i="66"/>
  <c r="HK25" i="66"/>
  <c r="HJ25" i="66"/>
  <c r="HH25" i="66"/>
  <c r="HC25" i="66"/>
  <c r="HA25" i="66"/>
  <c r="GZ25" i="66"/>
  <c r="GX25" i="66"/>
  <c r="BW25" i="66"/>
  <c r="BR25" i="66"/>
  <c r="BM25" i="66"/>
  <c r="BF25" i="66"/>
  <c r="BE25" i="66"/>
  <c r="BD25" i="66" s="1"/>
  <c r="D20" i="68" s="1"/>
  <c r="AU25" i="66"/>
  <c r="AT25" i="66"/>
  <c r="AQ25" i="66"/>
  <c r="AL25" i="66"/>
  <c r="AJ25" i="66"/>
  <c r="AH25" i="66"/>
  <c r="II28" i="66" s="1"/>
  <c r="IO28" i="66" s="1"/>
  <c r="AG25" i="66"/>
  <c r="AB25" i="66"/>
  <c r="W25" i="66"/>
  <c r="U25" i="66"/>
  <c r="S25" i="66"/>
  <c r="HY28" i="66" s="1"/>
  <c r="IE28" i="66" s="1"/>
  <c r="R25" i="66"/>
  <c r="M25" i="66"/>
  <c r="H25" i="66"/>
  <c r="F25" i="66"/>
  <c r="D25" i="66"/>
  <c r="HO28" i="66" s="1"/>
  <c r="HU28" i="66" s="1"/>
  <c r="C25" i="66"/>
  <c r="LG24" i="66"/>
  <c r="LF24" i="66" s="1"/>
  <c r="LE24" i="66" s="1"/>
  <c r="LD24" i="66"/>
  <c r="LC24" i="66"/>
  <c r="LB24" i="66" s="1"/>
  <c r="LA24" i="66"/>
  <c r="KZ24" i="66" s="1"/>
  <c r="KY24" i="66" s="1"/>
  <c r="KX24" i="66"/>
  <c r="KW24" i="66" s="1"/>
  <c r="KV24" i="66" s="1"/>
  <c r="KU24" i="66"/>
  <c r="KT24" i="66" s="1"/>
  <c r="KS24" i="66" s="1"/>
  <c r="KR24" i="66"/>
  <c r="KQ24" i="66" s="1"/>
  <c r="KP24" i="66" s="1"/>
  <c r="KO24" i="66"/>
  <c r="KN24" i="66" s="1"/>
  <c r="KM24" i="66" s="1"/>
  <c r="KL24" i="66"/>
  <c r="KK24" i="66" s="1"/>
  <c r="KJ24" i="66" s="1"/>
  <c r="KI24" i="66"/>
  <c r="KH24" i="66" s="1"/>
  <c r="KG24" i="66" s="1"/>
  <c r="KF24" i="66"/>
  <c r="KE24" i="66"/>
  <c r="KD24" i="66" s="1"/>
  <c r="KC24" i="66"/>
  <c r="KB24" i="66" s="1"/>
  <c r="KA24" i="66" s="1"/>
  <c r="JZ24" i="66"/>
  <c r="JY24" i="66" s="1"/>
  <c r="JX24" i="66" s="1"/>
  <c r="JW24" i="66"/>
  <c r="JV24" i="66" s="1"/>
  <c r="JU24" i="66" s="1"/>
  <c r="JT24" i="66"/>
  <c r="JS24" i="66"/>
  <c r="JR24" i="66" s="1"/>
  <c r="JQ24" i="66"/>
  <c r="JP24" i="66" s="1"/>
  <c r="JO24" i="66" s="1"/>
  <c r="JN24" i="66"/>
  <c r="JM24" i="66" s="1"/>
  <c r="JL24" i="66" s="1"/>
  <c r="JG24" i="66"/>
  <c r="JB24" i="66"/>
  <c r="IW24" i="66"/>
  <c r="IQ24" i="66"/>
  <c r="E34" i="67" s="1"/>
  <c r="IN24" i="66"/>
  <c r="IM24" i="66"/>
  <c r="IK24" i="66"/>
  <c r="IJ24" i="66"/>
  <c r="IG24" i="66"/>
  <c r="E24" i="67" s="1"/>
  <c r="ID24" i="66"/>
  <c r="IC24" i="66"/>
  <c r="IA24" i="66"/>
  <c r="HZ24" i="66"/>
  <c r="HW24" i="66"/>
  <c r="E14" i="67" s="1"/>
  <c r="HT24" i="66"/>
  <c r="HS24" i="66"/>
  <c r="HQ24" i="66"/>
  <c r="HP24" i="66"/>
  <c r="HM24" i="66"/>
  <c r="HK24" i="66"/>
  <c r="HJ24" i="66"/>
  <c r="HH24" i="66"/>
  <c r="HC24" i="66"/>
  <c r="HA24" i="66"/>
  <c r="GZ24" i="66"/>
  <c r="GX24" i="66"/>
  <c r="BV24" i="66"/>
  <c r="BQ24" i="66"/>
  <c r="BL24" i="66"/>
  <c r="BF24" i="66"/>
  <c r="BE24" i="66"/>
  <c r="BD24" i="66" s="1"/>
  <c r="D19" i="68" s="1"/>
  <c r="AU24" i="66"/>
  <c r="AT24" i="66"/>
  <c r="AQ24" i="66"/>
  <c r="AL24" i="66"/>
  <c r="AJ24" i="66"/>
  <c r="AH24" i="66"/>
  <c r="II27" i="66" s="1"/>
  <c r="IO27" i="66" s="1"/>
  <c r="AG24" i="66"/>
  <c r="AB24" i="66"/>
  <c r="W24" i="66"/>
  <c r="U24" i="66"/>
  <c r="M24" i="66"/>
  <c r="H24" i="66"/>
  <c r="F24" i="66"/>
  <c r="D24" i="66"/>
  <c r="HO27" i="66" s="1"/>
  <c r="HU27" i="66" s="1"/>
  <c r="C24" i="66"/>
  <c r="LG23" i="66"/>
  <c r="LF23" i="66" s="1"/>
  <c r="LE23" i="66" s="1"/>
  <c r="LD23" i="66"/>
  <c r="LC23" i="66"/>
  <c r="LB23" i="66" s="1"/>
  <c r="LA23" i="66"/>
  <c r="KZ23" i="66" s="1"/>
  <c r="KY23" i="66" s="1"/>
  <c r="KX23" i="66"/>
  <c r="KW23" i="66" s="1"/>
  <c r="KV23" i="66" s="1"/>
  <c r="KU23" i="66"/>
  <c r="KT23" i="66" s="1"/>
  <c r="KS23" i="66" s="1"/>
  <c r="KR23" i="66"/>
  <c r="KQ23" i="66"/>
  <c r="KP23" i="66" s="1"/>
  <c r="KO23" i="66"/>
  <c r="KN23" i="66" s="1"/>
  <c r="KM23" i="66" s="1"/>
  <c r="KL23" i="66"/>
  <c r="KK23" i="66" s="1"/>
  <c r="KJ23" i="66" s="1"/>
  <c r="KI23" i="66"/>
  <c r="KH23" i="66" s="1"/>
  <c r="KG23" i="66" s="1"/>
  <c r="KF23" i="66"/>
  <c r="KE23" i="66"/>
  <c r="KD23" i="66" s="1"/>
  <c r="KC23" i="66"/>
  <c r="KB23" i="66" s="1"/>
  <c r="KA23" i="66" s="1"/>
  <c r="JZ23" i="66"/>
  <c r="JY23" i="66" s="1"/>
  <c r="JX23" i="66" s="1"/>
  <c r="JW23" i="66"/>
  <c r="JV23" i="66" s="1"/>
  <c r="JU23" i="66" s="1"/>
  <c r="JT23" i="66"/>
  <c r="JS23" i="66" s="1"/>
  <c r="JR23" i="66" s="1"/>
  <c r="JQ23" i="66"/>
  <c r="JP23" i="66" s="1"/>
  <c r="JO23" i="66" s="1"/>
  <c r="JN23" i="66"/>
  <c r="JM23" i="66" s="1"/>
  <c r="JL23" i="66" s="1"/>
  <c r="JG23" i="66"/>
  <c r="JB23" i="66"/>
  <c r="IW23" i="66"/>
  <c r="IQ23" i="66"/>
  <c r="D34" i="67" s="1"/>
  <c r="IN23" i="66"/>
  <c r="IM23" i="66"/>
  <c r="IK23" i="66"/>
  <c r="IJ23" i="66"/>
  <c r="IG23" i="66"/>
  <c r="D24" i="67" s="1"/>
  <c r="ID23" i="66"/>
  <c r="IC23" i="66"/>
  <c r="IA23" i="66"/>
  <c r="HZ23" i="66"/>
  <c r="HW23" i="66"/>
  <c r="D14" i="67" s="1"/>
  <c r="HT23" i="66"/>
  <c r="HS23" i="66"/>
  <c r="HQ23" i="66"/>
  <c r="HP23" i="66"/>
  <c r="HM23" i="66"/>
  <c r="HK23" i="66"/>
  <c r="HJ23" i="66"/>
  <c r="HH23" i="66"/>
  <c r="HC23" i="66"/>
  <c r="HA23" i="66"/>
  <c r="GZ23" i="66"/>
  <c r="GX23" i="66"/>
  <c r="BY23" i="66"/>
  <c r="BT23" i="66"/>
  <c r="BO23" i="66"/>
  <c r="BF23" i="66"/>
  <c r="BE23" i="66"/>
  <c r="BD23" i="66" s="1"/>
  <c r="D18" i="68" s="1"/>
  <c r="AU23" i="66"/>
  <c r="AT23" i="66"/>
  <c r="AQ23" i="66"/>
  <c r="AL23" i="66"/>
  <c r="AJ23" i="66"/>
  <c r="AH23" i="66"/>
  <c r="II25" i="66" s="1"/>
  <c r="IO25" i="66" s="1"/>
  <c r="AG23" i="66"/>
  <c r="AB23" i="66"/>
  <c r="W23" i="66"/>
  <c r="U23" i="66"/>
  <c r="S23" i="66"/>
  <c r="HY25" i="66" s="1"/>
  <c r="IE25" i="66" s="1"/>
  <c r="R23" i="66"/>
  <c r="M23" i="66"/>
  <c r="H23" i="66"/>
  <c r="F23" i="66"/>
  <c r="D23" i="66"/>
  <c r="HO25" i="66" s="1"/>
  <c r="HU25" i="66" s="1"/>
  <c r="C23" i="66"/>
  <c r="LG22" i="66"/>
  <c r="LF22" i="66" s="1"/>
  <c r="LE22" i="66" s="1"/>
  <c r="LD22" i="66"/>
  <c r="LC22" i="66"/>
  <c r="LB22" i="66" s="1"/>
  <c r="LA22" i="66"/>
  <c r="KZ22" i="66" s="1"/>
  <c r="KY22" i="66" s="1"/>
  <c r="KX22" i="66"/>
  <c r="KW22" i="66" s="1"/>
  <c r="KV22" i="66" s="1"/>
  <c r="KU22" i="66"/>
  <c r="KT22" i="66" s="1"/>
  <c r="KS22" i="66" s="1"/>
  <c r="KR22" i="66"/>
  <c r="KQ22" i="66"/>
  <c r="KP22" i="66" s="1"/>
  <c r="KO22" i="66"/>
  <c r="KN22" i="66" s="1"/>
  <c r="KM22" i="66" s="1"/>
  <c r="KL22" i="66"/>
  <c r="KK22" i="66" s="1"/>
  <c r="KJ22" i="66" s="1"/>
  <c r="KI22" i="66"/>
  <c r="KH22" i="66" s="1"/>
  <c r="KG22" i="66" s="1"/>
  <c r="KF22" i="66"/>
  <c r="KE22" i="66"/>
  <c r="KD22" i="66" s="1"/>
  <c r="KC22" i="66"/>
  <c r="KB22" i="66" s="1"/>
  <c r="KA22" i="66" s="1"/>
  <c r="JZ22" i="66"/>
  <c r="JY22" i="66" s="1"/>
  <c r="JX22" i="66" s="1"/>
  <c r="JW22" i="66"/>
  <c r="JV22" i="66" s="1"/>
  <c r="JU22" i="66" s="1"/>
  <c r="JT22" i="66"/>
  <c r="JS22" i="66" s="1"/>
  <c r="JR22" i="66" s="1"/>
  <c r="JQ22" i="66"/>
  <c r="JP22" i="66" s="1"/>
  <c r="JO22" i="66" s="1"/>
  <c r="JN22" i="66"/>
  <c r="JM22" i="66" s="1"/>
  <c r="JL22" i="66" s="1"/>
  <c r="JG22" i="66"/>
  <c r="JB22" i="66"/>
  <c r="IW22" i="66"/>
  <c r="IQ22" i="66"/>
  <c r="C34" i="67" s="1"/>
  <c r="IN22" i="66"/>
  <c r="IM22" i="66"/>
  <c r="IK22" i="66"/>
  <c r="IJ22" i="66"/>
  <c r="IG22" i="66"/>
  <c r="C24" i="67" s="1"/>
  <c r="ID22" i="66"/>
  <c r="IC22" i="66"/>
  <c r="IA22" i="66"/>
  <c r="HZ22" i="66"/>
  <c r="HW22" i="66"/>
  <c r="C14" i="67" s="1"/>
  <c r="HT22" i="66"/>
  <c r="HS22" i="66"/>
  <c r="HQ22" i="66"/>
  <c r="HP22" i="66"/>
  <c r="HM22" i="66"/>
  <c r="HK22" i="66"/>
  <c r="HJ22" i="66"/>
  <c r="HH22" i="66"/>
  <c r="HC22" i="66"/>
  <c r="HA22" i="66"/>
  <c r="GZ22" i="66"/>
  <c r="GX22" i="66"/>
  <c r="BX22" i="66"/>
  <c r="BS22" i="66"/>
  <c r="BN22" i="66"/>
  <c r="BF22" i="66"/>
  <c r="BE22" i="66"/>
  <c r="BH22" i="66" s="1"/>
  <c r="BD22" i="66"/>
  <c r="D17" i="68" s="1"/>
  <c r="AU22" i="66"/>
  <c r="AT22" i="66"/>
  <c r="AQ22" i="66"/>
  <c r="AL22" i="66"/>
  <c r="AJ22" i="66"/>
  <c r="AH22" i="66"/>
  <c r="II24" i="66" s="1"/>
  <c r="IO24" i="66" s="1"/>
  <c r="AG22" i="66"/>
  <c r="AB22" i="66"/>
  <c r="W22" i="66"/>
  <c r="U22" i="66"/>
  <c r="S22" i="66"/>
  <c r="HY24" i="66" s="1"/>
  <c r="IE24" i="66" s="1"/>
  <c r="R22" i="66"/>
  <c r="M22" i="66"/>
  <c r="H22" i="66"/>
  <c r="F22" i="66"/>
  <c r="D22" i="66"/>
  <c r="HO24" i="66" s="1"/>
  <c r="HU24" i="66" s="1"/>
  <c r="C22" i="66"/>
  <c r="LG21" i="66"/>
  <c r="LF21" i="66" s="1"/>
  <c r="LE21" i="66" s="1"/>
  <c r="LD21" i="66"/>
  <c r="LC21" i="66" s="1"/>
  <c r="LB21" i="66" s="1"/>
  <c r="LA21" i="66"/>
  <c r="KZ21" i="66" s="1"/>
  <c r="KY21" i="66" s="1"/>
  <c r="KX21" i="66"/>
  <c r="KW21" i="66" s="1"/>
  <c r="KV21" i="66" s="1"/>
  <c r="KU21" i="66"/>
  <c r="KT21" i="66" s="1"/>
  <c r="KS21" i="66" s="1"/>
  <c r="KR21" i="66"/>
  <c r="KQ21" i="66" s="1"/>
  <c r="KP21" i="66" s="1"/>
  <c r="KO21" i="66"/>
  <c r="KN21" i="66"/>
  <c r="KM21" i="66" s="1"/>
  <c r="KL21" i="66"/>
  <c r="KK21" i="66" s="1"/>
  <c r="KJ21" i="66" s="1"/>
  <c r="KI21" i="66"/>
  <c r="KH21" i="66" s="1"/>
  <c r="KG21" i="66" s="1"/>
  <c r="KF21" i="66"/>
  <c r="KE21" i="66" s="1"/>
  <c r="KD21" i="66" s="1"/>
  <c r="KC21" i="66"/>
  <c r="KB21" i="66"/>
  <c r="KA21" i="66" s="1"/>
  <c r="JZ21" i="66"/>
  <c r="JY21" i="66" s="1"/>
  <c r="JX21" i="66" s="1"/>
  <c r="JW21" i="66"/>
  <c r="JV21" i="66" s="1"/>
  <c r="JU21" i="66" s="1"/>
  <c r="JT21" i="66"/>
  <c r="JS21" i="66" s="1"/>
  <c r="JR21" i="66" s="1"/>
  <c r="JQ21" i="66"/>
  <c r="JP21" i="66"/>
  <c r="JO21" i="66" s="1"/>
  <c r="JN21" i="66"/>
  <c r="JM21" i="66" s="1"/>
  <c r="JL21" i="66" s="1"/>
  <c r="JG21" i="66"/>
  <c r="JB21" i="66"/>
  <c r="IW21" i="66"/>
  <c r="II21" i="66"/>
  <c r="IO21" i="66" s="1"/>
  <c r="IQ21" i="66" s="1"/>
  <c r="G33" i="67" s="1"/>
  <c r="IH21" i="66"/>
  <c r="HY21" i="66"/>
  <c r="IE21" i="66" s="1"/>
  <c r="IG21" i="66" s="1"/>
  <c r="G23" i="67" s="1"/>
  <c r="HX21" i="66"/>
  <c r="HO21" i="66"/>
  <c r="HU21" i="66" s="1"/>
  <c r="HW21" i="66" s="1"/>
  <c r="G13" i="67" s="1"/>
  <c r="HN21" i="66"/>
  <c r="HM21" i="66"/>
  <c r="HK21" i="66"/>
  <c r="HJ21" i="66"/>
  <c r="HH21" i="66"/>
  <c r="HC21" i="66"/>
  <c r="HA21" i="66"/>
  <c r="GZ21" i="66"/>
  <c r="GX21" i="66"/>
  <c r="BW21" i="66"/>
  <c r="BR21" i="66"/>
  <c r="BM21" i="66"/>
  <c r="BF21" i="66"/>
  <c r="BE21" i="66"/>
  <c r="BD21" i="66" s="1"/>
  <c r="D16" i="68" s="1"/>
  <c r="AU21" i="66"/>
  <c r="AT21" i="66"/>
  <c r="AQ21" i="66"/>
  <c r="AL21" i="66"/>
  <c r="AJ21" i="66"/>
  <c r="AH21" i="66"/>
  <c r="II23" i="66" s="1"/>
  <c r="IO23" i="66" s="1"/>
  <c r="AG21" i="66"/>
  <c r="AB21" i="66"/>
  <c r="W21" i="66"/>
  <c r="U21" i="66"/>
  <c r="S21" i="66"/>
  <c r="HY23" i="66" s="1"/>
  <c r="IE23" i="66" s="1"/>
  <c r="R21" i="66"/>
  <c r="M21" i="66"/>
  <c r="H21" i="66"/>
  <c r="F21" i="66"/>
  <c r="D21" i="66"/>
  <c r="HO23" i="66" s="1"/>
  <c r="HU23" i="66" s="1"/>
  <c r="C21" i="66"/>
  <c r="LG20" i="66"/>
  <c r="LF20" i="66" s="1"/>
  <c r="LE20" i="66" s="1"/>
  <c r="LD20" i="66"/>
  <c r="LC20" i="66" s="1"/>
  <c r="LB20" i="66" s="1"/>
  <c r="LA20" i="66"/>
  <c r="KZ20" i="66"/>
  <c r="KY20" i="66" s="1"/>
  <c r="KX20" i="66"/>
  <c r="KW20" i="66" s="1"/>
  <c r="KV20" i="66" s="1"/>
  <c r="KU20" i="66"/>
  <c r="KT20" i="66" s="1"/>
  <c r="KS20" i="66" s="1"/>
  <c r="KR20" i="66"/>
  <c r="KQ20" i="66" s="1"/>
  <c r="KP20" i="66" s="1"/>
  <c r="KO20" i="66"/>
  <c r="KN20" i="66"/>
  <c r="KM20" i="66" s="1"/>
  <c r="KL20" i="66"/>
  <c r="KK20" i="66" s="1"/>
  <c r="KJ20" i="66" s="1"/>
  <c r="KI20" i="66"/>
  <c r="KH20" i="66" s="1"/>
  <c r="KG20" i="66" s="1"/>
  <c r="KF20" i="66"/>
  <c r="KE20" i="66" s="1"/>
  <c r="KD20" i="66" s="1"/>
  <c r="KC20" i="66"/>
  <c r="KB20" i="66"/>
  <c r="KA20" i="66" s="1"/>
  <c r="JZ20" i="66"/>
  <c r="JY20" i="66" s="1"/>
  <c r="JX20" i="66" s="1"/>
  <c r="JW20" i="66"/>
  <c r="JV20" i="66" s="1"/>
  <c r="JU20" i="66" s="1"/>
  <c r="JT20" i="66"/>
  <c r="JS20" i="66" s="1"/>
  <c r="JR20" i="66" s="1"/>
  <c r="JQ20" i="66"/>
  <c r="JP20" i="66" s="1"/>
  <c r="JO20" i="66" s="1"/>
  <c r="JN20" i="66"/>
  <c r="JM20" i="66" s="1"/>
  <c r="JL20" i="66" s="1"/>
  <c r="JG20" i="66"/>
  <c r="JB20" i="66"/>
  <c r="IW20" i="66"/>
  <c r="IQ20" i="66"/>
  <c r="F33" i="67" s="1"/>
  <c r="IN20" i="66"/>
  <c r="IM20" i="66"/>
  <c r="IK20" i="66"/>
  <c r="IJ20" i="66"/>
  <c r="IG20" i="66"/>
  <c r="F23" i="67" s="1"/>
  <c r="ID20" i="66"/>
  <c r="IC20" i="66"/>
  <c r="IA20" i="66"/>
  <c r="HZ20" i="66"/>
  <c r="HW20" i="66"/>
  <c r="F13" i="67" s="1"/>
  <c r="HT20" i="66"/>
  <c r="HS20" i="66"/>
  <c r="HQ20" i="66"/>
  <c r="HP20" i="66"/>
  <c r="HM20" i="66"/>
  <c r="HK20" i="66"/>
  <c r="HJ20" i="66"/>
  <c r="HH20" i="66"/>
  <c r="HC20" i="66"/>
  <c r="HA20" i="66"/>
  <c r="GZ20" i="66"/>
  <c r="GX20" i="66"/>
  <c r="FF20" i="66"/>
  <c r="FB20" i="66"/>
  <c r="FA20" i="66"/>
  <c r="DP20" i="66"/>
  <c r="DO20" i="66"/>
  <c r="DN20" i="66"/>
  <c r="DM20" i="66"/>
  <c r="DL20" i="66"/>
  <c r="DK20" i="66"/>
  <c r="DJ20" i="66"/>
  <c r="DI20" i="66"/>
  <c r="DH20" i="66"/>
  <c r="DG20" i="66"/>
  <c r="DF20" i="66"/>
  <c r="DE20" i="66"/>
  <c r="DD20" i="66"/>
  <c r="DC20" i="66"/>
  <c r="DB20" i="66"/>
  <c r="DA20" i="66"/>
  <c r="CZ20" i="66"/>
  <c r="CY20" i="66"/>
  <c r="CX20" i="66"/>
  <c r="CW20" i="66"/>
  <c r="CV20" i="66"/>
  <c r="CU20" i="66"/>
  <c r="CT20" i="66"/>
  <c r="BV20" i="66"/>
  <c r="BQ20" i="66"/>
  <c r="BL20" i="66"/>
  <c r="BH20" i="66"/>
  <c r="BF20" i="66"/>
  <c r="BE20" i="66"/>
  <c r="BD20" i="66"/>
  <c r="D15" i="68" s="1"/>
  <c r="AU20" i="66"/>
  <c r="AT20" i="66"/>
  <c r="AQ20" i="66"/>
  <c r="AL20" i="66"/>
  <c r="AJ20" i="66"/>
  <c r="AH20" i="66"/>
  <c r="II22" i="66" s="1"/>
  <c r="IO22" i="66" s="1"/>
  <c r="AG20" i="66"/>
  <c r="AB20" i="66"/>
  <c r="W20" i="66"/>
  <c r="U20" i="66"/>
  <c r="S20" i="66"/>
  <c r="HY22" i="66" s="1"/>
  <c r="IE22" i="66" s="1"/>
  <c r="R20" i="66"/>
  <c r="M20" i="66"/>
  <c r="H20" i="66"/>
  <c r="F20" i="66"/>
  <c r="D20" i="66"/>
  <c r="HO22" i="66" s="1"/>
  <c r="HU22" i="66" s="1"/>
  <c r="C20" i="66"/>
  <c r="LG19" i="66"/>
  <c r="LF19" i="66" s="1"/>
  <c r="LE19" i="66" s="1"/>
  <c r="LD19" i="66"/>
  <c r="LC19" i="66" s="1"/>
  <c r="LB19" i="66" s="1"/>
  <c r="LA19" i="66"/>
  <c r="KZ19" i="66"/>
  <c r="KY19" i="66" s="1"/>
  <c r="KX19" i="66"/>
  <c r="KW19" i="66" s="1"/>
  <c r="KV19" i="66" s="1"/>
  <c r="KU19" i="66"/>
  <c r="KT19" i="66" s="1"/>
  <c r="KS19" i="66" s="1"/>
  <c r="KR19" i="66"/>
  <c r="KQ19" i="66" s="1"/>
  <c r="KP19" i="66" s="1"/>
  <c r="KO19" i="66"/>
  <c r="KN19" i="66"/>
  <c r="KM19" i="66" s="1"/>
  <c r="KL19" i="66"/>
  <c r="KK19" i="66" s="1"/>
  <c r="KJ19" i="66" s="1"/>
  <c r="KI19" i="66"/>
  <c r="KH19" i="66" s="1"/>
  <c r="KG19" i="66" s="1"/>
  <c r="KF19" i="66"/>
  <c r="KE19" i="66" s="1"/>
  <c r="KD19" i="66" s="1"/>
  <c r="KC19" i="66"/>
  <c r="KB19" i="66" s="1"/>
  <c r="KA19" i="66" s="1"/>
  <c r="JZ19" i="66"/>
  <c r="JY19" i="66" s="1"/>
  <c r="JX19" i="66" s="1"/>
  <c r="JW19" i="66"/>
  <c r="JV19" i="66" s="1"/>
  <c r="JU19" i="66" s="1"/>
  <c r="JT19" i="66"/>
  <c r="JS19" i="66" s="1"/>
  <c r="JR19" i="66" s="1"/>
  <c r="JQ19" i="66"/>
  <c r="JP19" i="66"/>
  <c r="JO19" i="66" s="1"/>
  <c r="JN19" i="66"/>
  <c r="JM19" i="66" s="1"/>
  <c r="JL19" i="66" s="1"/>
  <c r="JG19" i="66"/>
  <c r="JB19" i="66"/>
  <c r="IW19" i="66"/>
  <c r="IQ19" i="66"/>
  <c r="E33" i="67" s="1"/>
  <c r="IN19" i="66"/>
  <c r="IM19" i="66"/>
  <c r="IK19" i="66"/>
  <c r="IJ19" i="66"/>
  <c r="IG19" i="66"/>
  <c r="E23" i="67" s="1"/>
  <c r="ID19" i="66"/>
  <c r="IC19" i="66"/>
  <c r="IA19" i="66"/>
  <c r="HZ19" i="66"/>
  <c r="HW19" i="66"/>
  <c r="E13" i="67" s="1"/>
  <c r="HT19" i="66"/>
  <c r="HS19" i="66"/>
  <c r="HQ19" i="66"/>
  <c r="HP19" i="66"/>
  <c r="HM19" i="66"/>
  <c r="HK19" i="66"/>
  <c r="HJ19" i="66"/>
  <c r="HH19" i="66"/>
  <c r="HC19" i="66"/>
  <c r="HA19" i="66"/>
  <c r="GZ19" i="66"/>
  <c r="GX19" i="66"/>
  <c r="FF19" i="66"/>
  <c r="FB19" i="66"/>
  <c r="FA19" i="66"/>
  <c r="DP19" i="66"/>
  <c r="DO19" i="66"/>
  <c r="DN19" i="66"/>
  <c r="DM19" i="66"/>
  <c r="DL19" i="66"/>
  <c r="DK19" i="66"/>
  <c r="DJ19" i="66"/>
  <c r="DI19" i="66"/>
  <c r="DH19" i="66"/>
  <c r="DG19" i="66"/>
  <c r="DF19" i="66"/>
  <c r="DE19" i="66"/>
  <c r="DD19" i="66"/>
  <c r="DC19" i="66"/>
  <c r="DB19" i="66"/>
  <c r="DA19" i="66"/>
  <c r="CZ19" i="66"/>
  <c r="CY19" i="66"/>
  <c r="CX19" i="66"/>
  <c r="CW19" i="66"/>
  <c r="CV19" i="66"/>
  <c r="CU19" i="66"/>
  <c r="CT19" i="66"/>
  <c r="BY19" i="66"/>
  <c r="BT19" i="66"/>
  <c r="BO19" i="66"/>
  <c r="BF19" i="66"/>
  <c r="BE19" i="66"/>
  <c r="BD19" i="66" s="1"/>
  <c r="D14" i="68" s="1"/>
  <c r="AU19" i="66"/>
  <c r="AT19" i="66"/>
  <c r="AQ19" i="66"/>
  <c r="AL19" i="66"/>
  <c r="AJ19" i="66"/>
  <c r="AH19" i="66"/>
  <c r="II20" i="66" s="1"/>
  <c r="IO20" i="66" s="1"/>
  <c r="AG19" i="66"/>
  <c r="AB19" i="66"/>
  <c r="W19" i="66"/>
  <c r="U19" i="66"/>
  <c r="S19" i="66"/>
  <c r="HY20" i="66" s="1"/>
  <c r="IE20" i="66" s="1"/>
  <c r="R19" i="66"/>
  <c r="M19" i="66"/>
  <c r="H19" i="66"/>
  <c r="F19" i="66"/>
  <c r="D19" i="66"/>
  <c r="HO20" i="66" s="1"/>
  <c r="HU20" i="66" s="1"/>
  <c r="C19" i="66"/>
  <c r="LG18" i="66"/>
  <c r="LF18" i="66"/>
  <c r="LE18" i="66" s="1"/>
  <c r="LD18" i="66"/>
  <c r="LC18" i="66" s="1"/>
  <c r="LB18" i="66" s="1"/>
  <c r="LA18" i="66"/>
  <c r="KZ18" i="66" s="1"/>
  <c r="KY18" i="66" s="1"/>
  <c r="KX18" i="66"/>
  <c r="KW18" i="66" s="1"/>
  <c r="KV18" i="66" s="1"/>
  <c r="KU18" i="66"/>
  <c r="KT18" i="66" s="1"/>
  <c r="KS18" i="66" s="1"/>
  <c r="KR18" i="66"/>
  <c r="KQ18" i="66" s="1"/>
  <c r="KP18" i="66" s="1"/>
  <c r="KO18" i="66"/>
  <c r="KN18" i="66" s="1"/>
  <c r="KM18" i="66" s="1"/>
  <c r="KL18" i="66"/>
  <c r="KK18" i="66" s="1"/>
  <c r="KJ18" i="66" s="1"/>
  <c r="KI18" i="66"/>
  <c r="KH18" i="66"/>
  <c r="KG18" i="66" s="1"/>
  <c r="KF18" i="66"/>
  <c r="KE18" i="66" s="1"/>
  <c r="KD18" i="66" s="1"/>
  <c r="KC18" i="66"/>
  <c r="KB18" i="66" s="1"/>
  <c r="KA18" i="66" s="1"/>
  <c r="JZ18" i="66"/>
  <c r="JY18" i="66" s="1"/>
  <c r="JX18" i="66" s="1"/>
  <c r="JW18" i="66"/>
  <c r="JV18" i="66"/>
  <c r="JU18" i="66" s="1"/>
  <c r="JT18" i="66"/>
  <c r="JS18" i="66" s="1"/>
  <c r="JR18" i="66" s="1"/>
  <c r="JQ18" i="66"/>
  <c r="JP18" i="66" s="1"/>
  <c r="JO18" i="66" s="1"/>
  <c r="JN18" i="66"/>
  <c r="JM18" i="66" s="1"/>
  <c r="JL18" i="66" s="1"/>
  <c r="JG18" i="66"/>
  <c r="JB18" i="66"/>
  <c r="IW18" i="66"/>
  <c r="IQ18" i="66"/>
  <c r="D33" i="67" s="1"/>
  <c r="IN18" i="66"/>
  <c r="IM18" i="66"/>
  <c r="IK18" i="66"/>
  <c r="IJ18" i="66"/>
  <c r="IG18" i="66"/>
  <c r="D23" i="67" s="1"/>
  <c r="ID18" i="66"/>
  <c r="IC18" i="66"/>
  <c r="IA18" i="66"/>
  <c r="HZ18" i="66"/>
  <c r="HW18" i="66"/>
  <c r="D13" i="67" s="1"/>
  <c r="HT18" i="66"/>
  <c r="HS18" i="66"/>
  <c r="HQ18" i="66"/>
  <c r="HP18" i="66"/>
  <c r="HM18" i="66"/>
  <c r="HK18" i="66"/>
  <c r="HJ18" i="66"/>
  <c r="HH18" i="66"/>
  <c r="HC18" i="66"/>
  <c r="HA18" i="66"/>
  <c r="GZ18" i="66"/>
  <c r="GX18" i="66"/>
  <c r="GH18" i="66"/>
  <c r="GG18" i="66"/>
  <c r="GF18" i="66"/>
  <c r="GE18" i="66"/>
  <c r="GD18" i="66"/>
  <c r="GC18" i="66"/>
  <c r="GB18" i="66"/>
  <c r="GA18" i="66"/>
  <c r="FZ18" i="66"/>
  <c r="FY18" i="66"/>
  <c r="FX18" i="66"/>
  <c r="FW18" i="66"/>
  <c r="FV18" i="66"/>
  <c r="FU18" i="66"/>
  <c r="FT18" i="66"/>
  <c r="FS18" i="66"/>
  <c r="FF18" i="66"/>
  <c r="FB18" i="66"/>
  <c r="FA18" i="66"/>
  <c r="EH18" i="66"/>
  <c r="DM18" i="66"/>
  <c r="CW18" i="66"/>
  <c r="CV18" i="66"/>
  <c r="CU18" i="66"/>
  <c r="CT18" i="66"/>
  <c r="BX18" i="66"/>
  <c r="BS18" i="66"/>
  <c r="BN18" i="66"/>
  <c r="BF18" i="66"/>
  <c r="BE18" i="66"/>
  <c r="BD18" i="66" s="1"/>
  <c r="D13" i="68" s="1"/>
  <c r="AU18" i="66"/>
  <c r="AT18" i="66"/>
  <c r="AQ18" i="66"/>
  <c r="AL18" i="66"/>
  <c r="AJ18" i="66"/>
  <c r="AH18" i="66"/>
  <c r="II19" i="66" s="1"/>
  <c r="IO19" i="66" s="1"/>
  <c r="AG18" i="66"/>
  <c r="AB18" i="66"/>
  <c r="W18" i="66"/>
  <c r="U18" i="66"/>
  <c r="S18" i="66"/>
  <c r="HY19" i="66" s="1"/>
  <c r="IE19" i="66" s="1"/>
  <c r="R18" i="66"/>
  <c r="M18" i="66"/>
  <c r="H18" i="66"/>
  <c r="F18" i="66"/>
  <c r="D18" i="66"/>
  <c r="HO19" i="66" s="1"/>
  <c r="HU19" i="66" s="1"/>
  <c r="C18" i="66"/>
  <c r="LG17" i="66"/>
  <c r="LF17" i="66" s="1"/>
  <c r="LE17" i="66" s="1"/>
  <c r="LD17" i="66"/>
  <c r="LC17" i="66" s="1"/>
  <c r="LB17" i="66"/>
  <c r="LA17" i="66"/>
  <c r="KZ17" i="66" s="1"/>
  <c r="KY17" i="66" s="1"/>
  <c r="KX17" i="66"/>
  <c r="KW17" i="66" s="1"/>
  <c r="KV17" i="66"/>
  <c r="KU17" i="66"/>
  <c r="KT17" i="66" s="1"/>
  <c r="KS17" i="66" s="1"/>
  <c r="KR17" i="66"/>
  <c r="KQ17" i="66" s="1"/>
  <c r="KP17" i="66"/>
  <c r="KO17" i="66"/>
  <c r="KN17" i="66" s="1"/>
  <c r="KM17" i="66" s="1"/>
  <c r="KL17" i="66"/>
  <c r="KK17" i="66" s="1"/>
  <c r="KJ17" i="66"/>
  <c r="KI17" i="66"/>
  <c r="KH17" i="66" s="1"/>
  <c r="KG17" i="66" s="1"/>
  <c r="KF17" i="66"/>
  <c r="KE17" i="66" s="1"/>
  <c r="KD17" i="66"/>
  <c r="KC17" i="66"/>
  <c r="KB17" i="66" s="1"/>
  <c r="KA17" i="66" s="1"/>
  <c r="JZ17" i="66"/>
  <c r="JY17" i="66" s="1"/>
  <c r="JX17" i="66"/>
  <c r="JW17" i="66"/>
  <c r="JV17" i="66" s="1"/>
  <c r="JU17" i="66" s="1"/>
  <c r="JT17" i="66"/>
  <c r="JS17" i="66" s="1"/>
  <c r="JR17" i="66"/>
  <c r="JQ17" i="66"/>
  <c r="JP17" i="66" s="1"/>
  <c r="JO17" i="66" s="1"/>
  <c r="JN17" i="66"/>
  <c r="JM17" i="66" s="1"/>
  <c r="JL17" i="66"/>
  <c r="JG17" i="66"/>
  <c r="JB17" i="66"/>
  <c r="IW17" i="66"/>
  <c r="IQ17" i="66"/>
  <c r="C33" i="67" s="1"/>
  <c r="IN17" i="66"/>
  <c r="IM17" i="66"/>
  <c r="IK17" i="66"/>
  <c r="IJ17" i="66"/>
  <c r="IG17" i="66"/>
  <c r="C23" i="67" s="1"/>
  <c r="ID17" i="66"/>
  <c r="IC17" i="66"/>
  <c r="IA17" i="66"/>
  <c r="HZ17" i="66"/>
  <c r="HW17" i="66"/>
  <c r="C13" i="67" s="1"/>
  <c r="HT17" i="66"/>
  <c r="HS17" i="66"/>
  <c r="HQ17" i="66"/>
  <c r="HP17" i="66"/>
  <c r="HM17" i="66"/>
  <c r="HK17" i="66"/>
  <c r="HJ17" i="66"/>
  <c r="HH17" i="66"/>
  <c r="HC17" i="66"/>
  <c r="HA17" i="66"/>
  <c r="GZ17" i="66"/>
  <c r="GX17" i="66"/>
  <c r="GI17" i="66"/>
  <c r="GG17" i="66"/>
  <c r="GF17" i="66"/>
  <c r="GE17" i="66"/>
  <c r="GD17" i="66"/>
  <c r="GC17" i="66"/>
  <c r="GB17" i="66"/>
  <c r="GA17" i="66"/>
  <c r="FZ17" i="66"/>
  <c r="FY17" i="66"/>
  <c r="FX17" i="66"/>
  <c r="FW17" i="66"/>
  <c r="FV17" i="66"/>
  <c r="FU17" i="66"/>
  <c r="FT17" i="66"/>
  <c r="FS17" i="66"/>
  <c r="FF17" i="66"/>
  <c r="FB17" i="66"/>
  <c r="FA17" i="66"/>
  <c r="EH17" i="66"/>
  <c r="DM17" i="66"/>
  <c r="CW17" i="66"/>
  <c r="CV17" i="66"/>
  <c r="CU17" i="66"/>
  <c r="CT17" i="66"/>
  <c r="BW17" i="66"/>
  <c r="BR17" i="66"/>
  <c r="BM17" i="66"/>
  <c r="BJ17" i="66"/>
  <c r="BF17" i="66"/>
  <c r="BE17" i="66"/>
  <c r="BH17" i="66" s="1"/>
  <c r="AU17" i="66"/>
  <c r="AT17" i="66"/>
  <c r="AQ17" i="66"/>
  <c r="AL17" i="66"/>
  <c r="AJ17" i="66"/>
  <c r="AH17" i="66"/>
  <c r="II18" i="66" s="1"/>
  <c r="IO18" i="66" s="1"/>
  <c r="AG17" i="66"/>
  <c r="AB17" i="66"/>
  <c r="W17" i="66"/>
  <c r="U17" i="66"/>
  <c r="S17" i="66"/>
  <c r="HY18" i="66" s="1"/>
  <c r="IE18" i="66" s="1"/>
  <c r="R17" i="66"/>
  <c r="M17" i="66"/>
  <c r="H17" i="66"/>
  <c r="F17" i="66"/>
  <c r="LG16" i="66"/>
  <c r="LF16" i="66" s="1"/>
  <c r="LE16" i="66" s="1"/>
  <c r="LD16" i="66"/>
  <c r="LC16" i="66" s="1"/>
  <c r="LB16" i="66" s="1"/>
  <c r="LA16" i="66"/>
  <c r="KZ16" i="66" s="1"/>
  <c r="KY16" i="66" s="1"/>
  <c r="KX16" i="66"/>
  <c r="KW16" i="66" s="1"/>
  <c r="KV16" i="66" s="1"/>
  <c r="KU16" i="66"/>
  <c r="KT16" i="66" s="1"/>
  <c r="KS16" i="66" s="1"/>
  <c r="KR16" i="66"/>
  <c r="KQ16" i="66" s="1"/>
  <c r="KP16" i="66" s="1"/>
  <c r="KO16" i="66"/>
  <c r="KN16" i="66" s="1"/>
  <c r="KM16" i="66" s="1"/>
  <c r="KL16" i="66"/>
  <c r="KK16" i="66" s="1"/>
  <c r="KJ16" i="66" s="1"/>
  <c r="KI16" i="66"/>
  <c r="KH16" i="66" s="1"/>
  <c r="KG16" i="66" s="1"/>
  <c r="KF16" i="66"/>
  <c r="KE16" i="66" s="1"/>
  <c r="KD16" i="66" s="1"/>
  <c r="KC16" i="66"/>
  <c r="KB16" i="66" s="1"/>
  <c r="KA16" i="66" s="1"/>
  <c r="JZ16" i="66"/>
  <c r="JY16" i="66" s="1"/>
  <c r="JX16" i="66" s="1"/>
  <c r="JW16" i="66"/>
  <c r="JV16" i="66" s="1"/>
  <c r="JU16" i="66" s="1"/>
  <c r="JT16" i="66"/>
  <c r="JS16" i="66" s="1"/>
  <c r="JR16" i="66" s="1"/>
  <c r="JQ16" i="66"/>
  <c r="JP16" i="66" s="1"/>
  <c r="JO16" i="66" s="1"/>
  <c r="JN16" i="66"/>
  <c r="JM16" i="66" s="1"/>
  <c r="JL16" i="66" s="1"/>
  <c r="JG16" i="66"/>
  <c r="JB16" i="66"/>
  <c r="IW16" i="66"/>
  <c r="II16" i="66"/>
  <c r="IJ16" i="66" s="1"/>
  <c r="IH16" i="66"/>
  <c r="HY16" i="66"/>
  <c r="IE16" i="66" s="1"/>
  <c r="IG16" i="66" s="1"/>
  <c r="G22" i="67" s="1"/>
  <c r="HX16" i="66"/>
  <c r="HO16" i="66"/>
  <c r="HP16" i="66" s="1"/>
  <c r="HN16" i="66"/>
  <c r="HM16" i="66"/>
  <c r="HK16" i="66"/>
  <c r="HJ16" i="66"/>
  <c r="HH16" i="66"/>
  <c r="HC16" i="66"/>
  <c r="HA16" i="66"/>
  <c r="GZ16" i="66"/>
  <c r="GX16" i="66"/>
  <c r="GI16" i="66"/>
  <c r="GH16" i="66"/>
  <c r="GF16" i="66"/>
  <c r="GE16" i="66"/>
  <c r="GD16" i="66"/>
  <c r="GC16" i="66"/>
  <c r="GB16" i="66"/>
  <c r="GA16" i="66"/>
  <c r="FZ16" i="66"/>
  <c r="FY16" i="66"/>
  <c r="FX16" i="66"/>
  <c r="FW16" i="66"/>
  <c r="FV16" i="66"/>
  <c r="FU16" i="66"/>
  <c r="FT16" i="66"/>
  <c r="FS16" i="66"/>
  <c r="FF16" i="66"/>
  <c r="FB16" i="66"/>
  <c r="FA16" i="66"/>
  <c r="EH16" i="66"/>
  <c r="DM16" i="66"/>
  <c r="CW16" i="66"/>
  <c r="CV16" i="66"/>
  <c r="CU16" i="66"/>
  <c r="CT16" i="66"/>
  <c r="BV16" i="66"/>
  <c r="BQ16" i="66"/>
  <c r="BL16" i="66"/>
  <c r="BJ16" i="66"/>
  <c r="BF16" i="66"/>
  <c r="BE16" i="66"/>
  <c r="BD16" i="66" s="1"/>
  <c r="D11" i="68" s="1"/>
  <c r="AU16" i="66"/>
  <c r="AT16" i="66"/>
  <c r="AQ16" i="66"/>
  <c r="AL16" i="66"/>
  <c r="AJ16" i="66"/>
  <c r="AB16" i="66"/>
  <c r="W16" i="66"/>
  <c r="U16" i="66"/>
  <c r="S16" i="66"/>
  <c r="HY17" i="66" s="1"/>
  <c r="IE17" i="66" s="1"/>
  <c r="R16" i="66"/>
  <c r="M16" i="66"/>
  <c r="H16" i="66"/>
  <c r="F16" i="66"/>
  <c r="D16" i="66"/>
  <c r="HO17" i="66" s="1"/>
  <c r="HU17" i="66" s="1"/>
  <c r="C16" i="66"/>
  <c r="LG15" i="66"/>
  <c r="LF15" i="66" s="1"/>
  <c r="LE15" i="66" s="1"/>
  <c r="LD15" i="66"/>
  <c r="LC15" i="66" s="1"/>
  <c r="LB15" i="66"/>
  <c r="LA15" i="66"/>
  <c r="KZ15" i="66" s="1"/>
  <c r="KY15" i="66" s="1"/>
  <c r="KX15" i="66"/>
  <c r="KW15" i="66" s="1"/>
  <c r="KV15" i="66" s="1"/>
  <c r="KU15" i="66"/>
  <c r="KT15" i="66" s="1"/>
  <c r="KS15" i="66" s="1"/>
  <c r="KR15" i="66"/>
  <c r="KQ15" i="66" s="1"/>
  <c r="KP15" i="66" s="1"/>
  <c r="KO15" i="66"/>
  <c r="KN15" i="66" s="1"/>
  <c r="KM15" i="66" s="1"/>
  <c r="KL15" i="66"/>
  <c r="KK15" i="66" s="1"/>
  <c r="KJ15" i="66" s="1"/>
  <c r="KI15" i="66"/>
  <c r="KH15" i="66" s="1"/>
  <c r="KG15" i="66" s="1"/>
  <c r="KF15" i="66"/>
  <c r="KE15" i="66" s="1"/>
  <c r="KD15" i="66" s="1"/>
  <c r="KC15" i="66"/>
  <c r="KB15" i="66"/>
  <c r="KA15" i="66" s="1"/>
  <c r="JZ15" i="66"/>
  <c r="JY15" i="66" s="1"/>
  <c r="JX15" i="66" s="1"/>
  <c r="JW15" i="66"/>
  <c r="JV15" i="66" s="1"/>
  <c r="JU15" i="66" s="1"/>
  <c r="JT15" i="66"/>
  <c r="JS15" i="66" s="1"/>
  <c r="JR15" i="66" s="1"/>
  <c r="JQ15" i="66"/>
  <c r="JP15" i="66" s="1"/>
  <c r="JO15" i="66" s="1"/>
  <c r="JN15" i="66"/>
  <c r="JM15" i="66" s="1"/>
  <c r="JL15" i="66" s="1"/>
  <c r="JG15" i="66"/>
  <c r="JB15" i="66"/>
  <c r="IW15" i="66"/>
  <c r="IQ15" i="66"/>
  <c r="F32" i="67" s="1"/>
  <c r="IN15" i="66"/>
  <c r="IM15" i="66"/>
  <c r="IK15" i="66"/>
  <c r="IJ15" i="66"/>
  <c r="IG15" i="66"/>
  <c r="F22" i="67" s="1"/>
  <c r="ID15" i="66"/>
  <c r="IC15" i="66"/>
  <c r="IA15" i="66"/>
  <c r="HZ15" i="66"/>
  <c r="HW15" i="66"/>
  <c r="F12" i="67" s="1"/>
  <c r="HT15" i="66"/>
  <c r="HS15" i="66"/>
  <c r="HQ15" i="66"/>
  <c r="HP15" i="66"/>
  <c r="HM15" i="66"/>
  <c r="HK15" i="66"/>
  <c r="HJ15" i="66"/>
  <c r="HH15" i="66"/>
  <c r="HC15" i="66"/>
  <c r="HA15" i="66"/>
  <c r="GZ15" i="66"/>
  <c r="GX15" i="66"/>
  <c r="GI15" i="66"/>
  <c r="GH15" i="66"/>
  <c r="GG15" i="66"/>
  <c r="GE15" i="66"/>
  <c r="GD15" i="66"/>
  <c r="GC15" i="66"/>
  <c r="GB15" i="66"/>
  <c r="GA15" i="66"/>
  <c r="FZ15" i="66"/>
  <c r="FY15" i="66"/>
  <c r="FX15" i="66"/>
  <c r="FW15" i="66"/>
  <c r="FV15" i="66"/>
  <c r="FU15" i="66"/>
  <c r="FT15" i="66"/>
  <c r="FS15" i="66"/>
  <c r="FF15" i="66"/>
  <c r="FB15" i="66"/>
  <c r="FA15" i="66"/>
  <c r="EH15" i="66"/>
  <c r="DM15" i="66"/>
  <c r="CW15" i="66"/>
  <c r="CV15" i="66"/>
  <c r="CU15" i="66"/>
  <c r="CT15" i="66"/>
  <c r="BY15" i="66"/>
  <c r="BT15" i="66"/>
  <c r="BO15" i="66"/>
  <c r="BJ15" i="66"/>
  <c r="BF15" i="66"/>
  <c r="BE15" i="66"/>
  <c r="BH15" i="66" s="1"/>
  <c r="BD15" i="66"/>
  <c r="D10" i="68" s="1"/>
  <c r="AU15" i="66"/>
  <c r="AT15" i="66"/>
  <c r="AQ15" i="66"/>
  <c r="AL15" i="66"/>
  <c r="AJ15" i="66"/>
  <c r="AH15" i="66"/>
  <c r="II15" i="66" s="1"/>
  <c r="IO15" i="66" s="1"/>
  <c r="AG15" i="66"/>
  <c r="AB15" i="66"/>
  <c r="W15" i="66"/>
  <c r="U15" i="66"/>
  <c r="S15" i="66"/>
  <c r="HY15" i="66" s="1"/>
  <c r="IE15" i="66" s="1"/>
  <c r="R15" i="66"/>
  <c r="M15" i="66"/>
  <c r="H15" i="66"/>
  <c r="F15" i="66"/>
  <c r="D15" i="66"/>
  <c r="HO15" i="66" s="1"/>
  <c r="HU15" i="66" s="1"/>
  <c r="C15" i="66"/>
  <c r="LG14" i="66"/>
  <c r="LF14" i="66" s="1"/>
  <c r="LE14" i="66" s="1"/>
  <c r="LD14" i="66"/>
  <c r="LC14" i="66" s="1"/>
  <c r="LB14" i="66" s="1"/>
  <c r="LA14" i="66"/>
  <c r="KZ14" i="66"/>
  <c r="KY14" i="66" s="1"/>
  <c r="KX14" i="66"/>
  <c r="KW14" i="66" s="1"/>
  <c r="KV14" i="66" s="1"/>
  <c r="KU14" i="66"/>
  <c r="KT14" i="66" s="1"/>
  <c r="KS14" i="66" s="1"/>
  <c r="KR14" i="66"/>
  <c r="KQ14" i="66" s="1"/>
  <c r="KP14" i="66" s="1"/>
  <c r="KO14" i="66"/>
  <c r="KN14" i="66"/>
  <c r="KM14" i="66" s="1"/>
  <c r="KL14" i="66"/>
  <c r="KK14" i="66" s="1"/>
  <c r="KJ14" i="66" s="1"/>
  <c r="KI14" i="66"/>
  <c r="KH14" i="66" s="1"/>
  <c r="KG14" i="66" s="1"/>
  <c r="KF14" i="66"/>
  <c r="KE14" i="66" s="1"/>
  <c r="KD14" i="66" s="1"/>
  <c r="KC14" i="66"/>
  <c r="KB14" i="66" s="1"/>
  <c r="KA14" i="66" s="1"/>
  <c r="JZ14" i="66"/>
  <c r="JY14" i="66" s="1"/>
  <c r="JX14" i="66" s="1"/>
  <c r="JW14" i="66"/>
  <c r="JV14" i="66" s="1"/>
  <c r="JU14" i="66" s="1"/>
  <c r="JT14" i="66"/>
  <c r="JS14" i="66" s="1"/>
  <c r="JR14" i="66" s="1"/>
  <c r="JQ14" i="66"/>
  <c r="JP14" i="66"/>
  <c r="JO14" i="66" s="1"/>
  <c r="JN14" i="66"/>
  <c r="JM14" i="66" s="1"/>
  <c r="JL14" i="66" s="1"/>
  <c r="JG14" i="66"/>
  <c r="JB14" i="66"/>
  <c r="IW14" i="66"/>
  <c r="IQ14" i="66"/>
  <c r="E32" i="67" s="1"/>
  <c r="IN14" i="66"/>
  <c r="IM14" i="66"/>
  <c r="IK14" i="66"/>
  <c r="IJ14" i="66"/>
  <c r="IG14" i="66"/>
  <c r="E22" i="67" s="1"/>
  <c r="ID14" i="66"/>
  <c r="IC14" i="66"/>
  <c r="IA14" i="66"/>
  <c r="HZ14" i="66"/>
  <c r="HW14" i="66"/>
  <c r="E12" i="67" s="1"/>
  <c r="HT14" i="66"/>
  <c r="HS14" i="66"/>
  <c r="HQ14" i="66"/>
  <c r="HP14" i="66"/>
  <c r="HM14" i="66"/>
  <c r="HK14" i="66"/>
  <c r="HJ14" i="66"/>
  <c r="HH14" i="66"/>
  <c r="HC14" i="66"/>
  <c r="HA14" i="66"/>
  <c r="GZ14" i="66"/>
  <c r="GX14" i="66"/>
  <c r="GI14" i="66"/>
  <c r="GH14" i="66"/>
  <c r="GG14" i="66"/>
  <c r="GF14" i="66"/>
  <c r="GD14" i="66"/>
  <c r="GC14" i="66"/>
  <c r="GB14" i="66"/>
  <c r="GA14" i="66"/>
  <c r="FZ14" i="66"/>
  <c r="FY14" i="66"/>
  <c r="FX14" i="66"/>
  <c r="FW14" i="66"/>
  <c r="FV14" i="66"/>
  <c r="FU14" i="66"/>
  <c r="FT14" i="66"/>
  <c r="CT14" i="66"/>
  <c r="BX14" i="66"/>
  <c r="BS14" i="66"/>
  <c r="BN14" i="66"/>
  <c r="BJ14" i="66"/>
  <c r="BF14" i="66"/>
  <c r="BE14" i="66"/>
  <c r="BD14" i="66" s="1"/>
  <c r="D9" i="68" s="1"/>
  <c r="AU14" i="66"/>
  <c r="AT14" i="66"/>
  <c r="AQ14" i="66"/>
  <c r="AL14" i="66"/>
  <c r="AJ14" i="66"/>
  <c r="AH14" i="66"/>
  <c r="II14" i="66" s="1"/>
  <c r="IO14" i="66" s="1"/>
  <c r="AG14" i="66"/>
  <c r="AB14" i="66"/>
  <c r="W14" i="66"/>
  <c r="U14" i="66"/>
  <c r="S14" i="66"/>
  <c r="HY14" i="66" s="1"/>
  <c r="IE14" i="66" s="1"/>
  <c r="R14" i="66"/>
  <c r="M14" i="66"/>
  <c r="H14" i="66"/>
  <c r="F14" i="66"/>
  <c r="D14" i="66"/>
  <c r="HO14" i="66" s="1"/>
  <c r="HU14" i="66" s="1"/>
  <c r="C14" i="66"/>
  <c r="LG13" i="66"/>
  <c r="LF13" i="66" s="1"/>
  <c r="LE13" i="66" s="1"/>
  <c r="LD13" i="66"/>
  <c r="LC13" i="66" s="1"/>
  <c r="LB13" i="66" s="1"/>
  <c r="LA13" i="66"/>
  <c r="KZ13" i="66" s="1"/>
  <c r="KY13" i="66" s="1"/>
  <c r="KX13" i="66"/>
  <c r="KW13" i="66" s="1"/>
  <c r="KV13" i="66" s="1"/>
  <c r="KU13" i="66"/>
  <c r="KT13" i="66" s="1"/>
  <c r="KS13" i="66" s="1"/>
  <c r="KR13" i="66"/>
  <c r="KQ13" i="66" s="1"/>
  <c r="KP13" i="66" s="1"/>
  <c r="KO13" i="66"/>
  <c r="KN13" i="66" s="1"/>
  <c r="KM13" i="66" s="1"/>
  <c r="KL13" i="66"/>
  <c r="KK13" i="66"/>
  <c r="KJ13" i="66" s="1"/>
  <c r="KI13" i="66"/>
  <c r="KH13" i="66" s="1"/>
  <c r="KG13" i="66" s="1"/>
  <c r="KF13" i="66"/>
  <c r="KE13" i="66" s="1"/>
  <c r="KD13" i="66" s="1"/>
  <c r="KC13" i="66"/>
  <c r="KB13" i="66" s="1"/>
  <c r="KA13" i="66" s="1"/>
  <c r="JZ13" i="66"/>
  <c r="JY13" i="66"/>
  <c r="JX13" i="66" s="1"/>
  <c r="JW13" i="66"/>
  <c r="JV13" i="66" s="1"/>
  <c r="JU13" i="66" s="1"/>
  <c r="JT13" i="66"/>
  <c r="JS13" i="66" s="1"/>
  <c r="JR13" i="66" s="1"/>
  <c r="JQ13" i="66"/>
  <c r="JP13" i="66" s="1"/>
  <c r="JO13" i="66" s="1"/>
  <c r="JN13" i="66"/>
  <c r="JM13" i="66"/>
  <c r="JL13" i="66" s="1"/>
  <c r="JG13" i="66"/>
  <c r="JB13" i="66"/>
  <c r="IW13" i="66"/>
  <c r="IQ13" i="66"/>
  <c r="D32" i="67" s="1"/>
  <c r="IN13" i="66"/>
  <c r="IM13" i="66"/>
  <c r="IK13" i="66"/>
  <c r="IJ13" i="66"/>
  <c r="IG13" i="66"/>
  <c r="D22" i="67" s="1"/>
  <c r="ID13" i="66"/>
  <c r="IC13" i="66"/>
  <c r="IA13" i="66"/>
  <c r="HZ13" i="66"/>
  <c r="HW13" i="66"/>
  <c r="D12" i="67" s="1"/>
  <c r="HT13" i="66"/>
  <c r="HS13" i="66"/>
  <c r="HQ13" i="66"/>
  <c r="HP13" i="66"/>
  <c r="HM13" i="66"/>
  <c r="HK13" i="66"/>
  <c r="HJ13" i="66"/>
  <c r="HH13" i="66"/>
  <c r="HC13" i="66"/>
  <c r="HA13" i="66"/>
  <c r="GZ13" i="66"/>
  <c r="GX13" i="66"/>
  <c r="GI13" i="66"/>
  <c r="GH13" i="66"/>
  <c r="GG13" i="66"/>
  <c r="GF13" i="66"/>
  <c r="GE13" i="66"/>
  <c r="GC13" i="66"/>
  <c r="GB13" i="66"/>
  <c r="GA13" i="66"/>
  <c r="FZ13" i="66"/>
  <c r="FY13" i="66"/>
  <c r="FX13" i="66"/>
  <c r="FW13" i="66"/>
  <c r="FV13" i="66"/>
  <c r="FU13" i="66"/>
  <c r="FT13" i="66"/>
  <c r="FS13" i="66"/>
  <c r="FF13" i="66"/>
  <c r="FB13" i="66"/>
  <c r="FA13" i="66"/>
  <c r="EH13" i="66"/>
  <c r="DM13" i="66"/>
  <c r="CW13" i="66"/>
  <c r="CV13" i="66"/>
  <c r="CU13" i="66"/>
  <c r="CT13" i="66"/>
  <c r="BW13" i="66"/>
  <c r="BR13" i="66"/>
  <c r="BM13" i="66"/>
  <c r="BJ13" i="66"/>
  <c r="BF13" i="66"/>
  <c r="BE13" i="66"/>
  <c r="BH13" i="66" s="1"/>
  <c r="BD13" i="66"/>
  <c r="D8" i="68" s="1"/>
  <c r="AU13" i="66"/>
  <c r="AT13" i="66"/>
  <c r="AQ13" i="66"/>
  <c r="AL13" i="66"/>
  <c r="AJ13" i="66"/>
  <c r="AH13" i="66"/>
  <c r="II13" i="66" s="1"/>
  <c r="IO13" i="66" s="1"/>
  <c r="AG13" i="66"/>
  <c r="AB13" i="66"/>
  <c r="W13" i="66"/>
  <c r="U13" i="66"/>
  <c r="S13" i="66"/>
  <c r="HY13" i="66" s="1"/>
  <c r="IE13" i="66" s="1"/>
  <c r="R13" i="66"/>
  <c r="M13" i="66"/>
  <c r="H13" i="66"/>
  <c r="F13" i="66"/>
  <c r="D13" i="66"/>
  <c r="HO13" i="66" s="1"/>
  <c r="HU13" i="66" s="1"/>
  <c r="C13" i="66"/>
  <c r="LG12" i="66"/>
  <c r="LF12" i="66" s="1"/>
  <c r="LE12" i="66" s="1"/>
  <c r="LD12" i="66"/>
  <c r="LC12" i="66" s="1"/>
  <c r="LB12" i="66" s="1"/>
  <c r="LA12" i="66"/>
  <c r="KZ12" i="66"/>
  <c r="KY12" i="66" s="1"/>
  <c r="KX12" i="66"/>
  <c r="KW12" i="66" s="1"/>
  <c r="KV12" i="66" s="1"/>
  <c r="KU12" i="66"/>
  <c r="KT12" i="66" s="1"/>
  <c r="KS12" i="66" s="1"/>
  <c r="KR12" i="66"/>
  <c r="KQ12" i="66" s="1"/>
  <c r="KP12" i="66" s="1"/>
  <c r="KO12" i="66"/>
  <c r="KN12" i="66"/>
  <c r="KM12" i="66" s="1"/>
  <c r="KL12" i="66"/>
  <c r="KK12" i="66" s="1"/>
  <c r="KJ12" i="66" s="1"/>
  <c r="KI12" i="66"/>
  <c r="KH12" i="66" s="1"/>
  <c r="KG12" i="66" s="1"/>
  <c r="KF12" i="66"/>
  <c r="KE12" i="66" s="1"/>
  <c r="KD12" i="66" s="1"/>
  <c r="KC12" i="66"/>
  <c r="KB12" i="66" s="1"/>
  <c r="KA12" i="66" s="1"/>
  <c r="JZ12" i="66"/>
  <c r="JY12" i="66" s="1"/>
  <c r="JX12" i="66" s="1"/>
  <c r="JW12" i="66"/>
  <c r="JV12" i="66" s="1"/>
  <c r="JU12" i="66" s="1"/>
  <c r="JT12" i="66"/>
  <c r="JS12" i="66" s="1"/>
  <c r="JR12" i="66" s="1"/>
  <c r="JQ12" i="66"/>
  <c r="JP12" i="66"/>
  <c r="JO12" i="66" s="1"/>
  <c r="JN12" i="66"/>
  <c r="JM12" i="66" s="1"/>
  <c r="JL12" i="66" s="1"/>
  <c r="JG12" i="66"/>
  <c r="JB12" i="66"/>
  <c r="IW12" i="66"/>
  <c r="IQ12" i="66"/>
  <c r="C32" i="67" s="1"/>
  <c r="IN12" i="66"/>
  <c r="IM12" i="66"/>
  <c r="IK12" i="66"/>
  <c r="IJ12" i="66"/>
  <c r="II12" i="66"/>
  <c r="IO12" i="66" s="1"/>
  <c r="IG12" i="66"/>
  <c r="C22" i="67" s="1"/>
  <c r="ID12" i="66"/>
  <c r="IC12" i="66"/>
  <c r="IA12" i="66"/>
  <c r="HZ12" i="66"/>
  <c r="HW12" i="66"/>
  <c r="C12" i="67" s="1"/>
  <c r="HT12" i="66"/>
  <c r="HS12" i="66"/>
  <c r="HQ12" i="66"/>
  <c r="HP12" i="66"/>
  <c r="HM12" i="66"/>
  <c r="HL12" i="66"/>
  <c r="HK12" i="66"/>
  <c r="HJ12" i="66"/>
  <c r="HH12" i="66"/>
  <c r="HC12" i="66"/>
  <c r="HB12" i="66"/>
  <c r="HA12" i="66"/>
  <c r="GZ12" i="66"/>
  <c r="GX12" i="66"/>
  <c r="GI12" i="66"/>
  <c r="GH12" i="66"/>
  <c r="GG12" i="66"/>
  <c r="GF12" i="66"/>
  <c r="GE12" i="66"/>
  <c r="GD12" i="66"/>
  <c r="GB12" i="66"/>
  <c r="GA12" i="66"/>
  <c r="FZ12" i="66"/>
  <c r="FY12" i="66"/>
  <c r="FX12" i="66"/>
  <c r="FW12" i="66"/>
  <c r="FV12" i="66"/>
  <c r="FU12" i="66"/>
  <c r="FT12" i="66"/>
  <c r="FS12" i="66"/>
  <c r="FF12" i="66"/>
  <c r="FB12" i="66"/>
  <c r="FA12" i="66"/>
  <c r="EH12" i="66"/>
  <c r="DM12" i="66"/>
  <c r="CW12" i="66"/>
  <c r="CV12" i="66"/>
  <c r="CU12" i="66"/>
  <c r="CT12" i="66"/>
  <c r="BV12" i="66"/>
  <c r="BQ12" i="66"/>
  <c r="BL12" i="66"/>
  <c r="BJ12" i="66"/>
  <c r="BF12" i="66"/>
  <c r="BE12" i="66"/>
  <c r="BD12" i="66" s="1"/>
  <c r="D7" i="68" s="1"/>
  <c r="AU12" i="66"/>
  <c r="AT12" i="66"/>
  <c r="AQ12" i="66"/>
  <c r="AL12" i="66"/>
  <c r="AJ12" i="66"/>
  <c r="AH12" i="66"/>
  <c r="AG12" i="66"/>
  <c r="AB12" i="66"/>
  <c r="W12" i="66"/>
  <c r="U12" i="66"/>
  <c r="S12" i="66"/>
  <c r="HY12" i="66" s="1"/>
  <c r="IE12" i="66" s="1"/>
  <c r="R12" i="66"/>
  <c r="M12" i="66"/>
  <c r="H12" i="66"/>
  <c r="F12" i="66"/>
  <c r="D12" i="66"/>
  <c r="HO12" i="66" s="1"/>
  <c r="HU12" i="66" s="1"/>
  <c r="C12" i="66"/>
  <c r="LE11" i="66"/>
  <c r="LB11" i="66"/>
  <c r="KY11" i="66"/>
  <c r="KV11" i="66"/>
  <c r="KP11" i="66"/>
  <c r="KM11" i="66"/>
  <c r="KJ11" i="66"/>
  <c r="KG11" i="66"/>
  <c r="KD11" i="66"/>
  <c r="KA11" i="66"/>
  <c r="JX11" i="66"/>
  <c r="JU11" i="66"/>
  <c r="JR11" i="66"/>
  <c r="JO11" i="66"/>
  <c r="JL11" i="66"/>
  <c r="HG11" i="66"/>
  <c r="HF11" i="66"/>
  <c r="HE11" i="66"/>
  <c r="GW11" i="66"/>
  <c r="GV11" i="66"/>
  <c r="GU11" i="66"/>
  <c r="GI11" i="66"/>
  <c r="GH11" i="66"/>
  <c r="GG11" i="66"/>
  <c r="GF11" i="66"/>
  <c r="GE11" i="66"/>
  <c r="GD11" i="66"/>
  <c r="GC11" i="66"/>
  <c r="GA11" i="66"/>
  <c r="FZ11" i="66"/>
  <c r="FY11" i="66"/>
  <c r="FX11" i="66"/>
  <c r="FW11" i="66"/>
  <c r="FV11" i="66"/>
  <c r="FU11" i="66"/>
  <c r="FT11" i="66"/>
  <c r="FS11" i="66"/>
  <c r="FF11" i="66"/>
  <c r="FB11" i="66"/>
  <c r="FA11" i="66"/>
  <c r="EH11" i="66"/>
  <c r="DM11" i="66"/>
  <c r="CW11" i="66"/>
  <c r="CV11" i="66"/>
  <c r="CU11" i="66"/>
  <c r="CT11" i="66"/>
  <c r="GI10" i="66"/>
  <c r="GH10" i="66"/>
  <c r="GG10" i="66"/>
  <c r="GF10" i="66"/>
  <c r="GE10" i="66"/>
  <c r="GD10" i="66"/>
  <c r="GC10" i="66"/>
  <c r="GB10" i="66"/>
  <c r="FZ10" i="66"/>
  <c r="FY10" i="66"/>
  <c r="FX10" i="66"/>
  <c r="FW10" i="66"/>
  <c r="FV10" i="66"/>
  <c r="FU10" i="66"/>
  <c r="FT10" i="66"/>
  <c r="FS10" i="66"/>
  <c r="FF10" i="66"/>
  <c r="FB10" i="66"/>
  <c r="FA10" i="66"/>
  <c r="EH10" i="66"/>
  <c r="DM10" i="66"/>
  <c r="CW10" i="66"/>
  <c r="CV10" i="66"/>
  <c r="CU10" i="66"/>
  <c r="CT10" i="66"/>
  <c r="AR10" i="66"/>
  <c r="AQ10" i="66"/>
  <c r="AP10" i="66"/>
  <c r="AO10" i="66"/>
  <c r="AN10" i="66"/>
  <c r="AM10" i="66"/>
  <c r="AL10" i="66"/>
  <c r="AH10" i="66"/>
  <c r="AG10" i="66"/>
  <c r="AC10" i="66"/>
  <c r="AB10" i="66"/>
  <c r="AA10" i="66"/>
  <c r="Z10" i="66"/>
  <c r="Y10" i="66"/>
  <c r="X10" i="66"/>
  <c r="W10" i="66"/>
  <c r="S10" i="66"/>
  <c r="R10" i="66"/>
  <c r="GI9" i="66"/>
  <c r="GH9" i="66"/>
  <c r="GG9" i="66"/>
  <c r="GF9" i="66"/>
  <c r="GE9" i="66"/>
  <c r="GD9" i="66"/>
  <c r="GC9" i="66"/>
  <c r="GB9" i="66"/>
  <c r="GA9" i="66"/>
  <c r="FY9" i="66"/>
  <c r="FX9" i="66"/>
  <c r="FW9" i="66"/>
  <c r="FV9" i="66"/>
  <c r="FU9" i="66"/>
  <c r="FT9" i="66"/>
  <c r="FS9" i="66"/>
  <c r="FF9" i="66"/>
  <c r="FB9" i="66"/>
  <c r="FA9" i="66"/>
  <c r="EH9" i="66"/>
  <c r="DM9" i="66"/>
  <c r="CW9" i="66"/>
  <c r="CV9" i="66"/>
  <c r="CU9" i="66"/>
  <c r="CT9" i="66"/>
  <c r="BY9" i="66"/>
  <c r="BX9" i="66"/>
  <c r="BW9" i="66"/>
  <c r="BV9" i="66"/>
  <c r="BT9" i="66"/>
  <c r="BS9" i="66"/>
  <c r="BR9" i="66"/>
  <c r="BQ9" i="66"/>
  <c r="BO9" i="66"/>
  <c r="BN9" i="66"/>
  <c r="BM9" i="66"/>
  <c r="BL9" i="66"/>
  <c r="BD9" i="66"/>
  <c r="AR9" i="66"/>
  <c r="AH9" i="66"/>
  <c r="AG9" i="66"/>
  <c r="AC9" i="66"/>
  <c r="S9" i="66"/>
  <c r="R9" i="66"/>
  <c r="GI8" i="66"/>
  <c r="GH8" i="66"/>
  <c r="GG8" i="66"/>
  <c r="GF8" i="66"/>
  <c r="GE8" i="66"/>
  <c r="GD8" i="66"/>
  <c r="GC8" i="66"/>
  <c r="GB8" i="66"/>
  <c r="GA8" i="66"/>
  <c r="FZ8" i="66"/>
  <c r="FX8" i="66"/>
  <c r="FW8" i="66"/>
  <c r="FV8" i="66"/>
  <c r="FU8" i="66"/>
  <c r="FT8" i="66"/>
  <c r="FS8" i="66"/>
  <c r="FF8" i="66"/>
  <c r="FB8" i="66"/>
  <c r="FA8" i="66"/>
  <c r="EH8" i="66"/>
  <c r="DM8" i="66"/>
  <c r="CW8" i="66"/>
  <c r="CV8" i="66"/>
  <c r="CU8" i="66"/>
  <c r="CT8" i="66"/>
  <c r="BY8" i="66"/>
  <c r="BX8" i="66"/>
  <c r="BW8" i="66"/>
  <c r="BV8" i="66"/>
  <c r="BT8" i="66"/>
  <c r="BS8" i="66"/>
  <c r="BR8" i="66"/>
  <c r="BQ8" i="66"/>
  <c r="BO8" i="66"/>
  <c r="BN8" i="66"/>
  <c r="BM8" i="66"/>
  <c r="BL8" i="66"/>
  <c r="AR8" i="66"/>
  <c r="AH8" i="66"/>
  <c r="AG8" i="66"/>
  <c r="AC8" i="66"/>
  <c r="S8" i="66"/>
  <c r="R8" i="66"/>
  <c r="I8" i="66"/>
  <c r="GI7" i="66"/>
  <c r="GH7" i="66"/>
  <c r="GG7" i="66"/>
  <c r="GF7" i="66"/>
  <c r="GE7" i="66"/>
  <c r="GD7" i="66"/>
  <c r="GC7" i="66"/>
  <c r="GB7" i="66"/>
  <c r="GA7" i="66"/>
  <c r="FZ7" i="66"/>
  <c r="FY7" i="66"/>
  <c r="FW7" i="66"/>
  <c r="FV7" i="66"/>
  <c r="FU7" i="66"/>
  <c r="FT7" i="66"/>
  <c r="FS7" i="66"/>
  <c r="FF7" i="66"/>
  <c r="FB7" i="66"/>
  <c r="FA7" i="66"/>
  <c r="EH7" i="66"/>
  <c r="DM7" i="66"/>
  <c r="CW7" i="66"/>
  <c r="CV7" i="66"/>
  <c r="CU7" i="66"/>
  <c r="CT7" i="66"/>
  <c r="BZ7" i="66"/>
  <c r="BY7" i="66"/>
  <c r="BX7" i="66"/>
  <c r="BW7" i="66"/>
  <c r="BV7" i="66"/>
  <c r="AR7" i="66"/>
  <c r="AH7" i="66"/>
  <c r="AG7" i="66"/>
  <c r="AC7" i="66"/>
  <c r="S7" i="66"/>
  <c r="R7" i="66"/>
  <c r="GI6" i="66"/>
  <c r="GH6" i="66"/>
  <c r="GG6" i="66"/>
  <c r="GF6" i="66"/>
  <c r="GE6" i="66"/>
  <c r="GD6" i="66"/>
  <c r="GC6" i="66"/>
  <c r="GB6" i="66"/>
  <c r="GA6" i="66"/>
  <c r="FZ6" i="66"/>
  <c r="FY6" i="66"/>
  <c r="FX6" i="66"/>
  <c r="FV6" i="66"/>
  <c r="FU6" i="66"/>
  <c r="FT6" i="66"/>
  <c r="FS6" i="66"/>
  <c r="FF6" i="66"/>
  <c r="FB6" i="66"/>
  <c r="FA6" i="66"/>
  <c r="EH6" i="66"/>
  <c r="DM6" i="66"/>
  <c r="CW6" i="66"/>
  <c r="CV6" i="66"/>
  <c r="CU6" i="66"/>
  <c r="CT6" i="66"/>
  <c r="AR6" i="66"/>
  <c r="AH6" i="66"/>
  <c r="AG6" i="66"/>
  <c r="AC6" i="66"/>
  <c r="S6" i="66"/>
  <c r="R6" i="66"/>
  <c r="GI5" i="66"/>
  <c r="GH5" i="66"/>
  <c r="GG5" i="66"/>
  <c r="GF5" i="66"/>
  <c r="GE5" i="66"/>
  <c r="GD5" i="66"/>
  <c r="GC5" i="66"/>
  <c r="GB5" i="66"/>
  <c r="GA5" i="66"/>
  <c r="FZ5" i="66"/>
  <c r="FY5" i="66"/>
  <c r="FX5" i="66"/>
  <c r="FW5" i="66"/>
  <c r="FU5" i="66"/>
  <c r="FT5" i="66"/>
  <c r="FS5" i="66"/>
  <c r="FF5" i="66"/>
  <c r="FB5" i="66"/>
  <c r="FA5" i="66"/>
  <c r="EH5" i="66"/>
  <c r="DM5" i="66"/>
  <c r="CW5" i="66"/>
  <c r="CV5" i="66"/>
  <c r="CU5" i="66"/>
  <c r="CT5" i="66"/>
  <c r="BC5" i="66"/>
  <c r="BA5" i="66"/>
  <c r="AY5" i="66"/>
  <c r="AW5" i="66"/>
  <c r="AV5" i="66"/>
  <c r="AR5" i="66"/>
  <c r="AC5" i="66"/>
  <c r="S5" i="66"/>
  <c r="R5" i="66"/>
  <c r="GI4" i="66"/>
  <c r="GH4" i="66"/>
  <c r="GG4" i="66"/>
  <c r="GF4" i="66"/>
  <c r="GE4" i="66"/>
  <c r="GD4" i="66"/>
  <c r="GC4" i="66"/>
  <c r="GB4" i="66"/>
  <c r="GA4" i="66"/>
  <c r="FZ4" i="66"/>
  <c r="FY4" i="66"/>
  <c r="FX4" i="66"/>
  <c r="FW4" i="66"/>
  <c r="FV4" i="66"/>
  <c r="FT4" i="66"/>
  <c r="FS4" i="66"/>
  <c r="FF4" i="66"/>
  <c r="FB4" i="66"/>
  <c r="FA4" i="66"/>
  <c r="EH4" i="66"/>
  <c r="DM4" i="66"/>
  <c r="CW4" i="66"/>
  <c r="CV4" i="66"/>
  <c r="CU4" i="66"/>
  <c r="CT4" i="66"/>
  <c r="BC4" i="66"/>
  <c r="BA4" i="66"/>
  <c r="AY4" i="66"/>
  <c r="AW4" i="66"/>
  <c r="AV4" i="66"/>
  <c r="AR4" i="66"/>
  <c r="AH4" i="66"/>
  <c r="AG4" i="66"/>
  <c r="AC4" i="66"/>
  <c r="S4" i="66"/>
  <c r="R4" i="66"/>
  <c r="HH3" i="66"/>
  <c r="GX3" i="66"/>
  <c r="GI3" i="66"/>
  <c r="GH3" i="66"/>
  <c r="GG3" i="66"/>
  <c r="GF3" i="66"/>
  <c r="GE3" i="66"/>
  <c r="GD3" i="66"/>
  <c r="GC3" i="66"/>
  <c r="GB3" i="66"/>
  <c r="GA3" i="66"/>
  <c r="FZ3" i="66"/>
  <c r="FY3" i="66"/>
  <c r="FX3" i="66"/>
  <c r="FW3" i="66"/>
  <c r="FV3" i="66"/>
  <c r="FU3" i="66"/>
  <c r="FS3" i="66"/>
  <c r="FF3" i="66"/>
  <c r="FB3" i="66"/>
  <c r="FA3" i="66"/>
  <c r="EH3" i="66"/>
  <c r="DM3" i="66"/>
  <c r="CW3" i="66"/>
  <c r="CV3" i="66"/>
  <c r="CU3" i="66"/>
  <c r="CT3" i="66"/>
  <c r="BC3" i="66"/>
  <c r="BA3" i="66"/>
  <c r="AY3" i="66"/>
  <c r="AW3" i="66"/>
  <c r="AV3" i="66"/>
  <c r="AR3" i="66"/>
  <c r="AH3" i="66"/>
  <c r="AG3" i="66"/>
  <c r="AC3" i="66"/>
  <c r="S3" i="66"/>
  <c r="R3" i="66"/>
  <c r="GI2" i="66"/>
  <c r="GH2" i="66"/>
  <c r="GG2" i="66"/>
  <c r="GF2" i="66"/>
  <c r="GD2" i="66"/>
  <c r="GC2" i="66"/>
  <c r="GB2" i="66"/>
  <c r="GA2" i="66"/>
  <c r="FZ2" i="66"/>
  <c r="FY2" i="66"/>
  <c r="FX2" i="66"/>
  <c r="FW2" i="66"/>
  <c r="FV2" i="66"/>
  <c r="FU2" i="66"/>
  <c r="FT2" i="66"/>
  <c r="EX2" i="66"/>
  <c r="EW2" i="66"/>
  <c r="EV2" i="66"/>
  <c r="EU2" i="66"/>
  <c r="ES2" i="66"/>
  <c r="ER2" i="66"/>
  <c r="EQ2" i="66"/>
  <c r="EP2" i="66"/>
  <c r="EO2" i="66"/>
  <c r="EN2" i="66"/>
  <c r="EM2" i="66"/>
  <c r="EL2" i="66"/>
  <c r="EK2" i="66"/>
  <c r="EJ2" i="66"/>
  <c r="EI2" i="66"/>
  <c r="EG2" i="66"/>
  <c r="EF2" i="66"/>
  <c r="EE2" i="66"/>
  <c r="ED2" i="66"/>
  <c r="EB2" i="66"/>
  <c r="EA2" i="66"/>
  <c r="DZ2" i="66"/>
  <c r="DY2" i="66"/>
  <c r="DX2" i="66"/>
  <c r="DW2" i="66"/>
  <c r="DV2" i="66"/>
  <c r="DU2" i="66"/>
  <c r="DT2" i="66"/>
  <c r="DS2" i="66"/>
  <c r="DR2" i="66"/>
  <c r="BC2" i="66"/>
  <c r="BA2" i="66"/>
  <c r="AY2" i="66"/>
  <c r="AW2" i="66"/>
  <c r="AV2" i="66"/>
  <c r="AR2" i="66"/>
  <c r="AH2" i="66"/>
  <c r="AG2" i="66"/>
  <c r="AC2" i="66"/>
  <c r="S2" i="66"/>
  <c r="R2" i="66"/>
  <c r="BZ42" i="51"/>
  <c r="BY42" i="51"/>
  <c r="BX42" i="51"/>
  <c r="BW42" i="51"/>
  <c r="BV42" i="51"/>
  <c r="BU42" i="51"/>
  <c r="AL42" i="51"/>
  <c r="AK42" i="51"/>
  <c r="AJ42" i="51"/>
  <c r="AI42" i="51"/>
  <c r="AH42" i="51"/>
  <c r="AG42" i="51"/>
  <c r="AF42" i="51"/>
  <c r="X42" i="51"/>
  <c r="W42" i="51"/>
  <c r="V42" i="51"/>
  <c r="U42" i="51"/>
  <c r="T42" i="51"/>
  <c r="S42" i="51"/>
  <c r="BZ41" i="51"/>
  <c r="BY41" i="51"/>
  <c r="BX41" i="51"/>
  <c r="BW41" i="51"/>
  <c r="BV41" i="51"/>
  <c r="BU41" i="51"/>
  <c r="AL41" i="51"/>
  <c r="AK41" i="51"/>
  <c r="AJ41" i="51"/>
  <c r="AI41" i="51"/>
  <c r="AH41" i="51"/>
  <c r="AG41" i="51"/>
  <c r="AF41" i="51"/>
  <c r="X41" i="51"/>
  <c r="W41" i="51"/>
  <c r="V41" i="51"/>
  <c r="U41" i="51"/>
  <c r="T41" i="51"/>
  <c r="S41" i="51"/>
  <c r="BZ40" i="51"/>
  <c r="BY40" i="51"/>
  <c r="BX40" i="51"/>
  <c r="BW40" i="51"/>
  <c r="BV40" i="51"/>
  <c r="BU40" i="51"/>
  <c r="AL40" i="51"/>
  <c r="AK40" i="51"/>
  <c r="AJ40" i="51"/>
  <c r="AI40" i="51"/>
  <c r="AH40" i="51"/>
  <c r="AG40" i="51"/>
  <c r="AF40" i="51"/>
  <c r="X40" i="51"/>
  <c r="W40" i="51"/>
  <c r="V40" i="51"/>
  <c r="U40" i="51"/>
  <c r="T40" i="51"/>
  <c r="S40" i="51"/>
  <c r="BZ39" i="51"/>
  <c r="BY39" i="51"/>
  <c r="BX39" i="51"/>
  <c r="BW39" i="51"/>
  <c r="BV39" i="51"/>
  <c r="BU39" i="51"/>
  <c r="AL39" i="51"/>
  <c r="AK39" i="51"/>
  <c r="AJ39" i="51"/>
  <c r="AI39" i="51"/>
  <c r="AH39" i="51"/>
  <c r="AG39" i="51"/>
  <c r="AF39" i="51"/>
  <c r="X39" i="51"/>
  <c r="W39" i="51"/>
  <c r="V39" i="51"/>
  <c r="U39" i="51"/>
  <c r="T39" i="51"/>
  <c r="S39" i="51"/>
  <c r="BZ38" i="51"/>
  <c r="BY38" i="51"/>
  <c r="BX38" i="51"/>
  <c r="BW38" i="51"/>
  <c r="BV38" i="51"/>
  <c r="BU38" i="51"/>
  <c r="AL38" i="51"/>
  <c r="AK38" i="51"/>
  <c r="AJ38" i="51"/>
  <c r="AI38" i="51"/>
  <c r="AH38" i="51"/>
  <c r="AG38" i="51"/>
  <c r="AF38" i="51"/>
  <c r="X38" i="51"/>
  <c r="W38" i="51"/>
  <c r="V38" i="51"/>
  <c r="U38" i="51"/>
  <c r="T38" i="51"/>
  <c r="S38" i="51"/>
  <c r="BZ37" i="51"/>
  <c r="BY37" i="51"/>
  <c r="BX37" i="51"/>
  <c r="BW37" i="51"/>
  <c r="BV37" i="51"/>
  <c r="BU37" i="51"/>
  <c r="AL37" i="51"/>
  <c r="AK37" i="51"/>
  <c r="AJ37" i="51"/>
  <c r="AI37" i="51"/>
  <c r="AH37" i="51"/>
  <c r="AG37" i="51"/>
  <c r="AF37" i="51"/>
  <c r="X37" i="51"/>
  <c r="W37" i="51"/>
  <c r="V37" i="51"/>
  <c r="U37" i="51"/>
  <c r="T37" i="51"/>
  <c r="S37" i="51"/>
  <c r="BZ36" i="51"/>
  <c r="BY36" i="51"/>
  <c r="BX36" i="51"/>
  <c r="BW36" i="51"/>
  <c r="BV36" i="51"/>
  <c r="BU36" i="51"/>
  <c r="AL36" i="51"/>
  <c r="AK36" i="51"/>
  <c r="AJ36" i="51"/>
  <c r="AI36" i="51"/>
  <c r="AH36" i="51"/>
  <c r="AG36" i="51"/>
  <c r="AF36" i="51"/>
  <c r="X36" i="51"/>
  <c r="W36" i="51"/>
  <c r="V36" i="51"/>
  <c r="U36" i="51"/>
  <c r="T36" i="51"/>
  <c r="S36" i="51"/>
  <c r="BZ35" i="51"/>
  <c r="BY35" i="51"/>
  <c r="BX35" i="51"/>
  <c r="BW35" i="51"/>
  <c r="BV35" i="51"/>
  <c r="BU35" i="51"/>
  <c r="AL35" i="51"/>
  <c r="AK35" i="51"/>
  <c r="AJ35" i="51"/>
  <c r="AI35" i="51"/>
  <c r="AH35" i="51"/>
  <c r="AG35" i="51"/>
  <c r="AF35" i="51"/>
  <c r="X35" i="51"/>
  <c r="W35" i="51"/>
  <c r="V35" i="51"/>
  <c r="U35" i="51"/>
  <c r="T35" i="51"/>
  <c r="S35" i="51"/>
  <c r="BZ34" i="51"/>
  <c r="BY34" i="51"/>
  <c r="BX34" i="51"/>
  <c r="BW34" i="51"/>
  <c r="BV34" i="51"/>
  <c r="BU34" i="51"/>
  <c r="AL34" i="51"/>
  <c r="AK34" i="51"/>
  <c r="AJ34" i="51"/>
  <c r="AI34" i="51"/>
  <c r="AH34" i="51"/>
  <c r="AG34" i="51"/>
  <c r="AF34" i="51"/>
  <c r="X34" i="51"/>
  <c r="W34" i="51"/>
  <c r="V34" i="51"/>
  <c r="U34" i="51"/>
  <c r="T34" i="51"/>
  <c r="S34" i="51"/>
  <c r="BZ33" i="51"/>
  <c r="BY33" i="51"/>
  <c r="BX33" i="51"/>
  <c r="BW33" i="51"/>
  <c r="BV33" i="51"/>
  <c r="BU33" i="51"/>
  <c r="AL33" i="51"/>
  <c r="AK33" i="51"/>
  <c r="AJ33" i="51"/>
  <c r="AI33" i="51"/>
  <c r="AH33" i="51"/>
  <c r="AG33" i="51"/>
  <c r="AF33" i="51"/>
  <c r="X33" i="51"/>
  <c r="W33" i="51"/>
  <c r="V33" i="51"/>
  <c r="U33" i="51"/>
  <c r="T33" i="51"/>
  <c r="S33" i="51"/>
  <c r="BZ32" i="51"/>
  <c r="BY32" i="51"/>
  <c r="BX32" i="51"/>
  <c r="BW32" i="51"/>
  <c r="BV32" i="51"/>
  <c r="BU32" i="51"/>
  <c r="AL32" i="51"/>
  <c r="AK32" i="51"/>
  <c r="AJ32" i="51"/>
  <c r="AI32" i="51"/>
  <c r="AH32" i="51"/>
  <c r="AG32" i="51"/>
  <c r="AF32" i="51"/>
  <c r="X32" i="51"/>
  <c r="W32" i="51"/>
  <c r="V32" i="51"/>
  <c r="U32" i="51"/>
  <c r="T32" i="51"/>
  <c r="S32" i="51"/>
  <c r="BZ31" i="51"/>
  <c r="BY31" i="51"/>
  <c r="BX31" i="51"/>
  <c r="BW31" i="51"/>
  <c r="BV31" i="51"/>
  <c r="BU31" i="51"/>
  <c r="AL31" i="51"/>
  <c r="AK31" i="51"/>
  <c r="AJ31" i="51"/>
  <c r="AI31" i="51"/>
  <c r="AH31" i="51"/>
  <c r="AG31" i="51"/>
  <c r="AF31" i="51"/>
  <c r="X31" i="51"/>
  <c r="W31" i="51"/>
  <c r="V31" i="51"/>
  <c r="U31" i="51"/>
  <c r="T31" i="51"/>
  <c r="S31" i="51"/>
  <c r="BZ30" i="51"/>
  <c r="BY30" i="51"/>
  <c r="BX30" i="51"/>
  <c r="BW30" i="51"/>
  <c r="BV30" i="51"/>
  <c r="BU30" i="51"/>
  <c r="AL30" i="51"/>
  <c r="AK30" i="51"/>
  <c r="AJ30" i="51"/>
  <c r="AI30" i="51"/>
  <c r="AH30" i="51"/>
  <c r="AG30" i="51"/>
  <c r="AF30" i="51"/>
  <c r="X30" i="51"/>
  <c r="W30" i="51"/>
  <c r="V30" i="51"/>
  <c r="U30" i="51"/>
  <c r="T30" i="51"/>
  <c r="S30" i="51"/>
  <c r="BZ29" i="51"/>
  <c r="BY29" i="51"/>
  <c r="BX29" i="51"/>
  <c r="BW29" i="51"/>
  <c r="BV29" i="51"/>
  <c r="BU29" i="51"/>
  <c r="AL29" i="51"/>
  <c r="AK29" i="51"/>
  <c r="AJ29" i="51"/>
  <c r="AI29" i="51"/>
  <c r="AH29" i="51"/>
  <c r="AG29" i="51"/>
  <c r="AF29" i="51"/>
  <c r="X29" i="51"/>
  <c r="W29" i="51"/>
  <c r="V29" i="51"/>
  <c r="U29" i="51"/>
  <c r="T29" i="51"/>
  <c r="S29" i="51"/>
  <c r="BZ28" i="51"/>
  <c r="BY28" i="51"/>
  <c r="BX28" i="51"/>
  <c r="BW28" i="51"/>
  <c r="BV28" i="51"/>
  <c r="BU28" i="51"/>
  <c r="AL28" i="51"/>
  <c r="AK28" i="51"/>
  <c r="AJ28" i="51"/>
  <c r="AI28" i="51"/>
  <c r="AH28" i="51"/>
  <c r="AG28" i="51"/>
  <c r="AF28" i="51"/>
  <c r="X28" i="51"/>
  <c r="W28" i="51"/>
  <c r="V28" i="51"/>
  <c r="U28" i="51"/>
  <c r="T28" i="51"/>
  <c r="S28" i="51"/>
  <c r="BZ27" i="51"/>
  <c r="BY27" i="51"/>
  <c r="BX27" i="51"/>
  <c r="BW27" i="51"/>
  <c r="BV27" i="51"/>
  <c r="BU27" i="51"/>
  <c r="AL27" i="51"/>
  <c r="AK27" i="51"/>
  <c r="AJ27" i="51"/>
  <c r="AI27" i="51"/>
  <c r="AH27" i="51"/>
  <c r="AG27" i="51"/>
  <c r="AF27" i="51"/>
  <c r="X27" i="51"/>
  <c r="W27" i="51"/>
  <c r="V27" i="51"/>
  <c r="U27" i="51"/>
  <c r="T27" i="51"/>
  <c r="S27" i="51"/>
  <c r="BZ26" i="51"/>
  <c r="BY26" i="51"/>
  <c r="BX26" i="51"/>
  <c r="BW26" i="51"/>
  <c r="BV26" i="51"/>
  <c r="BU26" i="51"/>
  <c r="AL26" i="51"/>
  <c r="AK26" i="51"/>
  <c r="AJ26" i="51"/>
  <c r="AI26" i="51"/>
  <c r="AH26" i="51"/>
  <c r="AG26" i="51"/>
  <c r="AF26" i="51"/>
  <c r="X26" i="51"/>
  <c r="W26" i="51"/>
  <c r="V26" i="51"/>
  <c r="U26" i="51"/>
  <c r="T26" i="51"/>
  <c r="S26" i="51"/>
  <c r="BZ25" i="51"/>
  <c r="BY25" i="51"/>
  <c r="BX25" i="51"/>
  <c r="BW25" i="51"/>
  <c r="BV25" i="51"/>
  <c r="BU25" i="51"/>
  <c r="AL25" i="51"/>
  <c r="AK25" i="51"/>
  <c r="AJ25" i="51"/>
  <c r="AI25" i="51"/>
  <c r="AH25" i="51"/>
  <c r="AG25" i="51"/>
  <c r="AF25" i="51"/>
  <c r="X25" i="51"/>
  <c r="W25" i="51"/>
  <c r="V25" i="51"/>
  <c r="U25" i="51"/>
  <c r="T25" i="51"/>
  <c r="S25" i="51"/>
  <c r="BZ24" i="51"/>
  <c r="BY24" i="51"/>
  <c r="BX24" i="51"/>
  <c r="BW24" i="51"/>
  <c r="BV24" i="51"/>
  <c r="BU24" i="51"/>
  <c r="AL24" i="51"/>
  <c r="AK24" i="51"/>
  <c r="AJ24" i="51"/>
  <c r="AI24" i="51"/>
  <c r="AH24" i="51"/>
  <c r="AG24" i="51"/>
  <c r="AF24" i="51"/>
  <c r="X24" i="51"/>
  <c r="W24" i="51"/>
  <c r="V24" i="51"/>
  <c r="U24" i="51"/>
  <c r="T24" i="51"/>
  <c r="S24" i="51"/>
  <c r="BZ23" i="51"/>
  <c r="BY23" i="51"/>
  <c r="BX23" i="51"/>
  <c r="BW23" i="51"/>
  <c r="BV23" i="51"/>
  <c r="BU23" i="51"/>
  <c r="AL23" i="51"/>
  <c r="AK23" i="51"/>
  <c r="AJ23" i="51"/>
  <c r="AI23" i="51"/>
  <c r="AH23" i="51"/>
  <c r="AG23" i="51"/>
  <c r="AF23" i="51"/>
  <c r="X23" i="51"/>
  <c r="W23" i="51"/>
  <c r="V23" i="51"/>
  <c r="U23" i="51"/>
  <c r="T23" i="51"/>
  <c r="S23" i="51"/>
  <c r="BZ22" i="51"/>
  <c r="BY22" i="51"/>
  <c r="BX22" i="51"/>
  <c r="BW22" i="51"/>
  <c r="BV22" i="51"/>
  <c r="BU22" i="51"/>
  <c r="AL22" i="51"/>
  <c r="AK22" i="51"/>
  <c r="AJ22" i="51"/>
  <c r="AI22" i="51"/>
  <c r="AH22" i="51"/>
  <c r="AG22" i="51"/>
  <c r="AF22" i="51"/>
  <c r="X22" i="51"/>
  <c r="W22" i="51"/>
  <c r="V22" i="51"/>
  <c r="U22" i="51"/>
  <c r="T22" i="51"/>
  <c r="S22" i="51"/>
  <c r="BZ21" i="51"/>
  <c r="BY21" i="51"/>
  <c r="BX21" i="51"/>
  <c r="BW21" i="51"/>
  <c r="BV21" i="51"/>
  <c r="BU21" i="51"/>
  <c r="AL21" i="51"/>
  <c r="AK21" i="51"/>
  <c r="AJ21" i="51"/>
  <c r="AI21" i="51"/>
  <c r="AH21" i="51"/>
  <c r="AG21" i="51"/>
  <c r="AF21" i="51"/>
  <c r="X21" i="51"/>
  <c r="W21" i="51"/>
  <c r="V21" i="51"/>
  <c r="U21" i="51"/>
  <c r="T21" i="51"/>
  <c r="S21" i="51"/>
  <c r="BZ20" i="51"/>
  <c r="BY20" i="51"/>
  <c r="BX20" i="51"/>
  <c r="BW20" i="51"/>
  <c r="BV20" i="51"/>
  <c r="BU20" i="51"/>
  <c r="BR20" i="51"/>
  <c r="BS20" i="51" s="1"/>
  <c r="BP20" i="51"/>
  <c r="BQ20" i="51" s="1"/>
  <c r="BN20" i="51"/>
  <c r="BO20" i="51" s="1"/>
  <c r="BL20" i="51"/>
  <c r="BM20" i="51" s="1"/>
  <c r="BJ20" i="51"/>
  <c r="BK20" i="51" s="1"/>
  <c r="AL20" i="51"/>
  <c r="AK20" i="51"/>
  <c r="AJ20" i="51"/>
  <c r="AI20" i="51"/>
  <c r="AH20" i="51"/>
  <c r="AG20" i="51"/>
  <c r="AF20" i="51"/>
  <c r="X20" i="51"/>
  <c r="W20" i="51"/>
  <c r="V20" i="51"/>
  <c r="U20" i="51"/>
  <c r="T20" i="51"/>
  <c r="S20" i="51"/>
  <c r="BZ19" i="51"/>
  <c r="BY19" i="51"/>
  <c r="BX19" i="51"/>
  <c r="BW19" i="51"/>
  <c r="BV19" i="51"/>
  <c r="BU19" i="51"/>
  <c r="BR19" i="51"/>
  <c r="BS19" i="51" s="1"/>
  <c r="BP19" i="51"/>
  <c r="BQ19" i="51" s="1"/>
  <c r="BN19" i="51"/>
  <c r="BO19" i="51" s="1"/>
  <c r="BL19" i="51"/>
  <c r="BM19" i="51" s="1"/>
  <c r="BJ19" i="51"/>
  <c r="BK19" i="51" s="1"/>
  <c r="AL19" i="51"/>
  <c r="AK19" i="51"/>
  <c r="AJ19" i="51"/>
  <c r="AI19" i="51"/>
  <c r="AH19" i="51"/>
  <c r="AG19" i="51"/>
  <c r="AF19" i="51"/>
  <c r="X19" i="51"/>
  <c r="W19" i="51"/>
  <c r="V19" i="51"/>
  <c r="U19" i="51"/>
  <c r="T19" i="51"/>
  <c r="S19" i="51"/>
  <c r="BZ18" i="51"/>
  <c r="BY18" i="51"/>
  <c r="BX18" i="51"/>
  <c r="BW18" i="51"/>
  <c r="BV18" i="51"/>
  <c r="BU18" i="51"/>
  <c r="BR18" i="51"/>
  <c r="BS18" i="51" s="1"/>
  <c r="BP18" i="51"/>
  <c r="BQ18" i="51" s="1"/>
  <c r="BN18" i="51"/>
  <c r="BO18" i="51" s="1"/>
  <c r="BL18" i="51"/>
  <c r="BM18" i="51" s="1"/>
  <c r="BJ18" i="51"/>
  <c r="BK18" i="51" s="1"/>
  <c r="AL18" i="51"/>
  <c r="AK18" i="51"/>
  <c r="AJ18" i="51"/>
  <c r="AI18" i="51"/>
  <c r="AH18" i="51"/>
  <c r="AG18" i="51"/>
  <c r="AF18" i="51"/>
  <c r="X18" i="51"/>
  <c r="W18" i="51"/>
  <c r="V18" i="51"/>
  <c r="U18" i="51"/>
  <c r="T18" i="51"/>
  <c r="S18" i="51"/>
  <c r="BZ17" i="51"/>
  <c r="BY17" i="51"/>
  <c r="BX17" i="51"/>
  <c r="BW17" i="51"/>
  <c r="BV17" i="51"/>
  <c r="BU17" i="51"/>
  <c r="BS17" i="51"/>
  <c r="BR17" i="51"/>
  <c r="BP17" i="51"/>
  <c r="BQ17" i="51" s="1"/>
  <c r="BN17" i="51"/>
  <c r="BO17" i="51" s="1"/>
  <c r="BL17" i="51"/>
  <c r="BM17" i="51" s="1"/>
  <c r="BJ17" i="51"/>
  <c r="BK17" i="51" s="1"/>
  <c r="AL17" i="51"/>
  <c r="AK17" i="51"/>
  <c r="AJ17" i="51"/>
  <c r="AI17" i="51"/>
  <c r="AH17" i="51"/>
  <c r="AG17" i="51"/>
  <c r="AF17" i="51"/>
  <c r="X17" i="51"/>
  <c r="W17" i="51"/>
  <c r="V17" i="51"/>
  <c r="U17" i="51"/>
  <c r="T17" i="51"/>
  <c r="S17" i="51"/>
  <c r="BZ16" i="51"/>
  <c r="BY16" i="51"/>
  <c r="BX16" i="51"/>
  <c r="BW16" i="51"/>
  <c r="BV16" i="51"/>
  <c r="BU16" i="51"/>
  <c r="BR16" i="51"/>
  <c r="BS16" i="51" s="1"/>
  <c r="BP16" i="51"/>
  <c r="BQ16" i="51" s="1"/>
  <c r="BN16" i="51"/>
  <c r="BO16" i="51" s="1"/>
  <c r="BL16" i="51"/>
  <c r="BM16" i="51" s="1"/>
  <c r="BJ16" i="51"/>
  <c r="BK16" i="51" s="1"/>
  <c r="AL16" i="51"/>
  <c r="AK16" i="51"/>
  <c r="AJ16" i="51"/>
  <c r="AI16" i="51"/>
  <c r="AH16" i="51"/>
  <c r="AG16" i="51"/>
  <c r="AF16" i="51"/>
  <c r="X16" i="51"/>
  <c r="W16" i="51"/>
  <c r="V16" i="51"/>
  <c r="U16" i="51"/>
  <c r="T16" i="51"/>
  <c r="S16" i="51"/>
  <c r="BZ15" i="51"/>
  <c r="BY15" i="51"/>
  <c r="BX15" i="51"/>
  <c r="BW15" i="51"/>
  <c r="BV15" i="51"/>
  <c r="BU15" i="51"/>
  <c r="BR15" i="51"/>
  <c r="BS15" i="51" s="1"/>
  <c r="BP15" i="51"/>
  <c r="BQ15" i="51" s="1"/>
  <c r="BN15" i="51"/>
  <c r="BO15" i="51" s="1"/>
  <c r="BL15" i="51"/>
  <c r="BM15" i="51" s="1"/>
  <c r="AL15" i="51"/>
  <c r="AK15" i="51"/>
  <c r="AJ15" i="51"/>
  <c r="AI15" i="51"/>
  <c r="AH15" i="51"/>
  <c r="AG15" i="51"/>
  <c r="AF15" i="51"/>
  <c r="X15" i="51"/>
  <c r="W15" i="51"/>
  <c r="V15" i="51"/>
  <c r="U15" i="51"/>
  <c r="T15" i="51"/>
  <c r="S15" i="51"/>
  <c r="BZ14" i="51"/>
  <c r="BY14" i="51"/>
  <c r="BX14" i="51"/>
  <c r="BW14" i="51"/>
  <c r="BV14" i="51"/>
  <c r="BU14" i="51"/>
  <c r="BR14" i="51"/>
  <c r="BS14" i="51" s="1"/>
  <c r="BP14" i="51"/>
  <c r="BQ14" i="51" s="1"/>
  <c r="BN14" i="51"/>
  <c r="BO14" i="51" s="1"/>
  <c r="BL14" i="51"/>
  <c r="BM14" i="51" s="1"/>
  <c r="BJ14" i="51"/>
  <c r="BK14" i="51" s="1"/>
  <c r="AL14" i="51"/>
  <c r="AK14" i="51"/>
  <c r="AJ14" i="51"/>
  <c r="AI14" i="51"/>
  <c r="AH14" i="51"/>
  <c r="AG14" i="51"/>
  <c r="AF14" i="51"/>
  <c r="X14" i="51"/>
  <c r="W14" i="51"/>
  <c r="V14" i="51"/>
  <c r="U14" i="51"/>
  <c r="T14" i="51"/>
  <c r="S14" i="51"/>
  <c r="BZ13" i="51"/>
  <c r="BY13" i="51"/>
  <c r="BX13" i="51"/>
  <c r="BW13" i="51"/>
  <c r="BV13" i="51"/>
  <c r="BU13" i="51"/>
  <c r="BR13" i="51"/>
  <c r="BS13" i="51" s="1"/>
  <c r="BP13" i="51"/>
  <c r="BQ13" i="51" s="1"/>
  <c r="BN13" i="51"/>
  <c r="BO13" i="51" s="1"/>
  <c r="BL13" i="51"/>
  <c r="BM13" i="51" s="1"/>
  <c r="BJ13" i="51"/>
  <c r="BK13" i="51" s="1"/>
  <c r="AL13" i="51"/>
  <c r="AK13" i="51"/>
  <c r="AJ13" i="51"/>
  <c r="AI13" i="51"/>
  <c r="AH13" i="51"/>
  <c r="AG13" i="51"/>
  <c r="AF13" i="51"/>
  <c r="X13" i="51"/>
  <c r="W13" i="51"/>
  <c r="V13" i="51"/>
  <c r="U13" i="51"/>
  <c r="T13" i="51"/>
  <c r="S13" i="51"/>
  <c r="BZ12" i="51"/>
  <c r="BY12" i="51"/>
  <c r="BX12" i="51"/>
  <c r="BW12" i="51"/>
  <c r="BV12" i="51"/>
  <c r="BU12" i="51"/>
  <c r="BS12" i="51"/>
  <c r="BR12" i="51"/>
  <c r="BP12" i="51"/>
  <c r="BQ12" i="51" s="1"/>
  <c r="BN12" i="51"/>
  <c r="BO12" i="51" s="1"/>
  <c r="BL12" i="51"/>
  <c r="BM12" i="51" s="1"/>
  <c r="BJ12" i="51"/>
  <c r="BK12" i="51" s="1"/>
  <c r="AL12" i="51"/>
  <c r="AK12" i="51"/>
  <c r="AJ12" i="51"/>
  <c r="AI12" i="51"/>
  <c r="AH12" i="51"/>
  <c r="AG12" i="51"/>
  <c r="AF12" i="51"/>
  <c r="X12" i="51"/>
  <c r="W12" i="51"/>
  <c r="V12" i="51"/>
  <c r="U12" i="51"/>
  <c r="T12" i="51"/>
  <c r="S12" i="51"/>
  <c r="BZ11" i="51"/>
  <c r="BY11" i="51"/>
  <c r="BX11" i="51"/>
  <c r="BW11" i="51"/>
  <c r="BV11" i="51"/>
  <c r="BU11" i="51"/>
  <c r="BR11" i="51"/>
  <c r="BS11" i="51" s="1"/>
  <c r="BP11" i="51"/>
  <c r="BQ11" i="51" s="1"/>
  <c r="BN11" i="51"/>
  <c r="BO11" i="51" s="1"/>
  <c r="BL11" i="51"/>
  <c r="BM11" i="51" s="1"/>
  <c r="BJ11" i="51"/>
  <c r="BK11" i="51" s="1"/>
  <c r="AL11" i="51"/>
  <c r="AK11" i="51"/>
  <c r="AJ11" i="51"/>
  <c r="AI11" i="51"/>
  <c r="AH11" i="51"/>
  <c r="AG11" i="51"/>
  <c r="AF11" i="51"/>
  <c r="X11" i="51"/>
  <c r="W11" i="51"/>
  <c r="V11" i="51"/>
  <c r="U11" i="51"/>
  <c r="T11" i="51"/>
  <c r="S11" i="51"/>
  <c r="BZ10" i="51"/>
  <c r="BY10" i="51"/>
  <c r="BX10" i="51"/>
  <c r="BW10" i="51"/>
  <c r="BV10" i="51"/>
  <c r="BU10" i="51"/>
  <c r="BR10" i="51"/>
  <c r="BS10" i="51" s="1"/>
  <c r="BP10" i="51"/>
  <c r="BQ10" i="51" s="1"/>
  <c r="BN10" i="51"/>
  <c r="BO10" i="51" s="1"/>
  <c r="BL10" i="51"/>
  <c r="BM10" i="51" s="1"/>
  <c r="BJ10" i="51"/>
  <c r="BK10" i="51" s="1"/>
  <c r="AL10" i="51"/>
  <c r="AK10" i="51"/>
  <c r="AJ10" i="51"/>
  <c r="AI10" i="51"/>
  <c r="AH10" i="51"/>
  <c r="AG10" i="51"/>
  <c r="AF10" i="51"/>
  <c r="X10" i="51"/>
  <c r="W10" i="51"/>
  <c r="V10" i="51"/>
  <c r="U10" i="51"/>
  <c r="T10" i="51"/>
  <c r="S10" i="51"/>
  <c r="BZ9" i="51"/>
  <c r="BY9" i="51"/>
  <c r="BX9" i="51"/>
  <c r="BW9" i="51"/>
  <c r="BV9" i="51"/>
  <c r="BU9" i="51"/>
  <c r="BR9" i="51"/>
  <c r="BS9" i="51" s="1"/>
  <c r="BP9" i="51"/>
  <c r="BQ9" i="51" s="1"/>
  <c r="BN9" i="51"/>
  <c r="BO9" i="51" s="1"/>
  <c r="BL9" i="51"/>
  <c r="BM9" i="51" s="1"/>
  <c r="BJ9" i="51"/>
  <c r="BK9" i="51" s="1"/>
  <c r="AL9" i="51"/>
  <c r="AK9" i="51"/>
  <c r="AJ9" i="51"/>
  <c r="AI9" i="51"/>
  <c r="AH9" i="51"/>
  <c r="AG9" i="51"/>
  <c r="AF9" i="51"/>
  <c r="X9" i="51"/>
  <c r="W9" i="51"/>
  <c r="V9" i="51"/>
  <c r="U9" i="51"/>
  <c r="T9" i="51"/>
  <c r="S9" i="51"/>
  <c r="BZ8" i="51"/>
  <c r="BY8" i="51"/>
  <c r="BX8" i="51"/>
  <c r="BW8" i="51"/>
  <c r="BV8" i="51"/>
  <c r="BU8" i="51"/>
  <c r="BR8" i="51"/>
  <c r="BS8" i="51" s="1"/>
  <c r="BP8" i="51"/>
  <c r="BQ8" i="51" s="1"/>
  <c r="BN8" i="51"/>
  <c r="BO8" i="51" s="1"/>
  <c r="BL8" i="51"/>
  <c r="BM8" i="51" s="1"/>
  <c r="AL8" i="51"/>
  <c r="AK8" i="51"/>
  <c r="AJ8" i="51"/>
  <c r="AI8" i="51"/>
  <c r="AH8" i="51"/>
  <c r="AG8" i="51"/>
  <c r="AF8" i="51"/>
  <c r="X8" i="51"/>
  <c r="W8" i="51"/>
  <c r="V8" i="51"/>
  <c r="U8" i="51"/>
  <c r="T8" i="51"/>
  <c r="S8" i="51"/>
  <c r="BZ7" i="51"/>
  <c r="BY7" i="51"/>
  <c r="BX7" i="51"/>
  <c r="BW7" i="51"/>
  <c r="BV7" i="51"/>
  <c r="BU7" i="51"/>
  <c r="BR7" i="51"/>
  <c r="BS7" i="51" s="1"/>
  <c r="BP7" i="51"/>
  <c r="BQ7" i="51" s="1"/>
  <c r="BN7" i="51"/>
  <c r="BO7" i="51" s="1"/>
  <c r="BL7" i="51"/>
  <c r="BM7" i="51" s="1"/>
  <c r="AL7" i="51"/>
  <c r="AK7" i="51"/>
  <c r="AJ7" i="51"/>
  <c r="AI7" i="51"/>
  <c r="AH7" i="51"/>
  <c r="AG7" i="51"/>
  <c r="AF7" i="51"/>
  <c r="X7" i="51"/>
  <c r="W7" i="51"/>
  <c r="V7" i="51"/>
  <c r="U7" i="51"/>
  <c r="T7" i="51"/>
  <c r="S7" i="51"/>
  <c r="BZ6" i="51"/>
  <c r="BY6" i="51"/>
  <c r="BX6" i="51"/>
  <c r="BW6" i="51"/>
  <c r="BV6" i="51"/>
  <c r="BU6" i="51"/>
  <c r="BR6" i="51"/>
  <c r="BE8" i="54" s="1"/>
  <c r="BP6" i="51"/>
  <c r="BC8" i="54" s="1"/>
  <c r="BN6" i="51"/>
  <c r="BA8" i="54" s="1"/>
  <c r="BL6" i="51"/>
  <c r="AY8" i="54" s="1"/>
  <c r="BJ6" i="51"/>
  <c r="AW8" i="54" s="1"/>
  <c r="AL6" i="51"/>
  <c r="AK6" i="51"/>
  <c r="AJ6" i="51"/>
  <c r="AI6" i="51"/>
  <c r="AH6" i="51"/>
  <c r="AG6" i="51"/>
  <c r="AF6" i="51"/>
  <c r="X6" i="51"/>
  <c r="W6" i="51"/>
  <c r="V6" i="51"/>
  <c r="U6" i="51"/>
  <c r="T6" i="51"/>
  <c r="S6" i="51"/>
  <c r="BZ5" i="51"/>
  <c r="BY5" i="51"/>
  <c r="BX5" i="51"/>
  <c r="BW5" i="51"/>
  <c r="BV5" i="51"/>
  <c r="BU5" i="51"/>
  <c r="BR5" i="51"/>
  <c r="BE7" i="54" s="1"/>
  <c r="BP5" i="51"/>
  <c r="BN5" i="51"/>
  <c r="BA7" i="54" s="1"/>
  <c r="BL5" i="51"/>
  <c r="AY7" i="54" s="1"/>
  <c r="BJ5" i="51"/>
  <c r="AW7" i="54" s="1"/>
  <c r="AL5" i="51"/>
  <c r="AK5" i="51"/>
  <c r="AJ5" i="51"/>
  <c r="AI5" i="51"/>
  <c r="AH5" i="51"/>
  <c r="AG5" i="51"/>
  <c r="AF5" i="51"/>
  <c r="X5" i="51"/>
  <c r="W5" i="51"/>
  <c r="V5" i="51"/>
  <c r="U5" i="51"/>
  <c r="T5" i="51"/>
  <c r="S5" i="51"/>
  <c r="BZ4" i="51"/>
  <c r="BY4" i="51"/>
  <c r="BX4" i="51"/>
  <c r="BW4" i="51"/>
  <c r="BV4" i="51"/>
  <c r="BU4" i="51"/>
  <c r="BR4" i="51"/>
  <c r="BE6" i="54" s="1"/>
  <c r="BP4" i="51"/>
  <c r="BC6" i="54" s="1"/>
  <c r="BN4" i="51"/>
  <c r="BA6" i="54" s="1"/>
  <c r="BL4" i="51"/>
  <c r="AY6" i="54" s="1"/>
  <c r="BK4" i="51"/>
  <c r="BJ4" i="51"/>
  <c r="AW6" i="54" s="1"/>
  <c r="AL4" i="51"/>
  <c r="AK4" i="51"/>
  <c r="AJ4" i="51"/>
  <c r="AI4" i="51"/>
  <c r="AH4" i="51"/>
  <c r="AG4" i="51"/>
  <c r="AF4" i="51"/>
  <c r="X4" i="51"/>
  <c r="W4" i="51"/>
  <c r="V4" i="51"/>
  <c r="U4" i="51"/>
  <c r="T4" i="51"/>
  <c r="S4" i="51"/>
  <c r="BZ3" i="51"/>
  <c r="BY3" i="51"/>
  <c r="BX3" i="51"/>
  <c r="BW3" i="51"/>
  <c r="BV3" i="51"/>
  <c r="BU3" i="51"/>
  <c r="BS3" i="51"/>
  <c r="BR3" i="51"/>
  <c r="BE5" i="54" s="1"/>
  <c r="BP3" i="51"/>
  <c r="BQ3" i="51" s="1"/>
  <c r="BN3" i="51"/>
  <c r="BA5" i="54" s="1"/>
  <c r="BL3" i="51"/>
  <c r="BM3" i="51" s="1"/>
  <c r="AL3" i="51"/>
  <c r="AK3" i="51"/>
  <c r="AJ3" i="51"/>
  <c r="AI3" i="51"/>
  <c r="AH3" i="51"/>
  <c r="AG3" i="51"/>
  <c r="AF3" i="51"/>
  <c r="X3" i="51"/>
  <c r="W3" i="51"/>
  <c r="V3" i="51"/>
  <c r="U3" i="51"/>
  <c r="T3" i="51"/>
  <c r="S3" i="51"/>
  <c r="AQ2" i="51"/>
  <c r="AP2" i="51"/>
  <c r="AO2" i="51"/>
  <c r="AM2" i="51"/>
  <c r="Z2" i="51"/>
  <c r="Y2" i="51"/>
  <c r="X2" i="51"/>
  <c r="W2" i="51"/>
  <c r="V2" i="51"/>
  <c r="U2" i="51"/>
  <c r="T2" i="51"/>
  <c r="S2" i="51"/>
  <c r="AR1" i="51"/>
  <c r="AN1" i="51"/>
  <c r="AL1" i="51"/>
  <c r="AK1" i="51"/>
  <c r="AJ1" i="51"/>
  <c r="AI1" i="51"/>
  <c r="AH1" i="51"/>
  <c r="AG1" i="51"/>
  <c r="Q1" i="51"/>
  <c r="P1" i="51"/>
  <c r="O1" i="51"/>
  <c r="N1" i="51"/>
  <c r="M1" i="51"/>
  <c r="L1" i="51"/>
  <c r="K1" i="51"/>
  <c r="J1" i="51"/>
  <c r="I1" i="51"/>
  <c r="H1" i="51"/>
  <c r="G1" i="51"/>
  <c r="F1" i="51"/>
  <c r="G31" i="19"/>
  <c r="B31" i="19"/>
  <c r="P24" i="19"/>
  <c r="O24" i="19"/>
  <c r="M24" i="19"/>
  <c r="P23" i="19"/>
  <c r="O23" i="19"/>
  <c r="M23" i="19"/>
  <c r="P22" i="19"/>
  <c r="O22" i="19"/>
  <c r="M22" i="19"/>
  <c r="P21" i="19"/>
  <c r="O21" i="19"/>
  <c r="M21" i="19"/>
  <c r="P20" i="19"/>
  <c r="O20" i="19"/>
  <c r="M20" i="19"/>
  <c r="P19" i="19"/>
  <c r="O19" i="19"/>
  <c r="M19" i="19"/>
  <c r="P18" i="19"/>
  <c r="M18" i="19"/>
  <c r="P17" i="19"/>
  <c r="O17" i="19"/>
  <c r="M17" i="19"/>
  <c r="P16" i="19"/>
  <c r="O16" i="19"/>
  <c r="M16" i="19"/>
  <c r="P15" i="19"/>
  <c r="O15" i="19"/>
  <c r="M15" i="19"/>
  <c r="P14" i="19"/>
  <c r="O14" i="19"/>
  <c r="M14" i="19"/>
  <c r="P13" i="19"/>
  <c r="O13" i="19"/>
  <c r="M13" i="19"/>
  <c r="P12" i="19"/>
  <c r="O12" i="19"/>
  <c r="M12" i="19"/>
  <c r="P11" i="19"/>
  <c r="O11" i="19"/>
  <c r="M11" i="19"/>
  <c r="P10" i="19"/>
  <c r="O10" i="19"/>
  <c r="M10" i="19"/>
  <c r="P9" i="19"/>
  <c r="O9" i="19"/>
  <c r="M9" i="19"/>
  <c r="P8" i="19"/>
  <c r="O8" i="19"/>
  <c r="M8" i="19"/>
  <c r="P7" i="19"/>
  <c r="O7" i="19"/>
  <c r="M7" i="19"/>
  <c r="B3" i="19"/>
  <c r="A2" i="19"/>
  <c r="A1" i="19"/>
  <c r="G41" i="52"/>
  <c r="G39" i="52"/>
  <c r="B39" i="52"/>
  <c r="G37" i="52"/>
  <c r="B34" i="52"/>
  <c r="B30" i="52"/>
  <c r="B29" i="52"/>
  <c r="B25" i="52"/>
  <c r="B15" i="52"/>
  <c r="B14" i="52"/>
  <c r="D7" i="52"/>
  <c r="G5" i="52"/>
  <c r="D5" i="52"/>
  <c r="G3" i="52"/>
  <c r="D3" i="52"/>
  <c r="A1" i="52"/>
  <c r="FB103" i="10"/>
  <c r="FB102" i="10"/>
  <c r="FB101" i="10"/>
  <c r="FB100" i="10"/>
  <c r="FB99" i="10"/>
  <c r="FB98" i="10"/>
  <c r="FB96" i="10"/>
  <c r="FB95" i="10"/>
  <c r="FB94" i="10"/>
  <c r="FB93" i="10"/>
  <c r="FB92" i="10"/>
  <c r="HK91" i="10"/>
  <c r="HH91" i="10"/>
  <c r="HJ91" i="10" s="1"/>
  <c r="GX91" i="10"/>
  <c r="GZ91" i="10" s="1"/>
  <c r="FB91" i="10"/>
  <c r="HH90" i="10"/>
  <c r="HK90" i="10" s="1"/>
  <c r="GX90" i="10"/>
  <c r="HA90" i="10" s="1"/>
  <c r="FB90" i="10"/>
  <c r="HH89" i="10"/>
  <c r="HM89" i="10" s="1"/>
  <c r="GX89" i="10"/>
  <c r="HC89" i="10" s="1"/>
  <c r="FB89" i="10"/>
  <c r="HH88" i="10"/>
  <c r="HK88" i="10" s="1"/>
  <c r="HC88" i="10"/>
  <c r="GX88" i="10"/>
  <c r="HA88" i="10" s="1"/>
  <c r="FB88" i="10"/>
  <c r="HH87" i="10"/>
  <c r="HK87" i="10" s="1"/>
  <c r="FB87" i="10"/>
  <c r="HH86" i="10"/>
  <c r="HJ86" i="10" s="1"/>
  <c r="GX86" i="10"/>
  <c r="GZ86" i="10" s="1"/>
  <c r="FB86" i="10"/>
  <c r="HH85" i="10"/>
  <c r="HK85" i="10" s="1"/>
  <c r="GX85" i="10"/>
  <c r="HA85" i="10" s="1"/>
  <c r="HH84" i="10"/>
  <c r="HK84" i="10" s="1"/>
  <c r="GX84" i="10"/>
  <c r="HA84" i="10" s="1"/>
  <c r="HH83" i="10"/>
  <c r="HJ83" i="10" s="1"/>
  <c r="GX83" i="10"/>
  <c r="GZ83" i="10" s="1"/>
  <c r="FB83" i="10"/>
  <c r="HH82" i="10"/>
  <c r="HK82" i="10" s="1"/>
  <c r="GX82" i="10"/>
  <c r="HA82" i="10" s="1"/>
  <c r="FB82" i="10"/>
  <c r="HH81" i="10"/>
  <c r="HM81" i="10" s="1"/>
  <c r="GX81" i="10"/>
  <c r="HC81" i="10" s="1"/>
  <c r="FB81" i="10"/>
  <c r="HK80" i="10"/>
  <c r="HH80" i="10"/>
  <c r="HM80" i="10" s="1"/>
  <c r="GX80" i="10"/>
  <c r="HC80" i="10" s="1"/>
  <c r="FB80" i="10"/>
  <c r="HH79" i="10"/>
  <c r="HJ79" i="10" s="1"/>
  <c r="GX79" i="10"/>
  <c r="GZ79" i="10" s="1"/>
  <c r="FB79" i="10"/>
  <c r="HH78" i="10"/>
  <c r="HK78" i="10" s="1"/>
  <c r="GX78" i="10"/>
  <c r="HA78" i="10" s="1"/>
  <c r="FB78" i="10"/>
  <c r="HH77" i="10"/>
  <c r="HM77" i="10" s="1"/>
  <c r="GX77" i="10"/>
  <c r="HC77" i="10" s="1"/>
  <c r="HH76" i="10"/>
  <c r="HM76" i="10" s="1"/>
  <c r="GX76" i="10"/>
  <c r="HC76" i="10" s="1"/>
  <c r="FB76" i="10"/>
  <c r="HH75" i="10"/>
  <c r="HM75" i="10" s="1"/>
  <c r="GX75" i="10"/>
  <c r="HC75" i="10" s="1"/>
  <c r="FB75" i="10"/>
  <c r="HH74" i="10"/>
  <c r="HM74" i="10" s="1"/>
  <c r="GZ74" i="10"/>
  <c r="GX74" i="10"/>
  <c r="HC74" i="10" s="1"/>
  <c r="FB74" i="10"/>
  <c r="HH73" i="10"/>
  <c r="HM73" i="10" s="1"/>
  <c r="FB73" i="10"/>
  <c r="HH72" i="10"/>
  <c r="HM72" i="10" s="1"/>
  <c r="GX72" i="10"/>
  <c r="HC72" i="10" s="1"/>
  <c r="FB72" i="10"/>
  <c r="HK71" i="10"/>
  <c r="HH71" i="10"/>
  <c r="HJ71" i="10" s="1"/>
  <c r="GX71" i="10"/>
  <c r="GZ71" i="10" s="1"/>
  <c r="FB71" i="10"/>
  <c r="HM70" i="10"/>
  <c r="HH70" i="10"/>
  <c r="HK70" i="10" s="1"/>
  <c r="GX70" i="10"/>
  <c r="HA70" i="10" s="1"/>
  <c r="FB70" i="10"/>
  <c r="HH69" i="10"/>
  <c r="HM69" i="10" s="1"/>
  <c r="GX69" i="10"/>
  <c r="HC69" i="10" s="1"/>
  <c r="FB69" i="10"/>
  <c r="HH68" i="10"/>
  <c r="HM68" i="10" s="1"/>
  <c r="GX68" i="10"/>
  <c r="HA68" i="10" s="1"/>
  <c r="FB68" i="10"/>
  <c r="HH67" i="10"/>
  <c r="HM67" i="10" s="1"/>
  <c r="GX67" i="10"/>
  <c r="HC67" i="10" s="1"/>
  <c r="FB67" i="10"/>
  <c r="HJ66" i="10"/>
  <c r="HH66" i="10"/>
  <c r="HM66" i="10" s="1"/>
  <c r="GZ66" i="10"/>
  <c r="GX66" i="10"/>
  <c r="HC66" i="10" s="1"/>
  <c r="FB66" i="10"/>
  <c r="HK65" i="10"/>
  <c r="HJ65" i="10"/>
  <c r="HH65" i="10"/>
  <c r="HM65" i="10" s="1"/>
  <c r="HA65" i="10"/>
  <c r="GX65" i="10"/>
  <c r="HC65" i="10" s="1"/>
  <c r="HH64" i="10"/>
  <c r="HJ64" i="10" s="1"/>
  <c r="GX64" i="10"/>
  <c r="GZ64" i="10" s="1"/>
  <c r="DM64" i="10"/>
  <c r="DL64" i="10"/>
  <c r="CW64" i="10"/>
  <c r="CV64" i="10"/>
  <c r="HH63" i="10"/>
  <c r="HJ63" i="10" s="1"/>
  <c r="GX63" i="10"/>
  <c r="GZ63" i="10" s="1"/>
  <c r="DM63" i="10"/>
  <c r="DL63" i="10"/>
  <c r="CW63" i="10"/>
  <c r="CV63" i="10"/>
  <c r="HH62" i="10"/>
  <c r="HJ62" i="10" s="1"/>
  <c r="GX62" i="10"/>
  <c r="GZ62" i="10" s="1"/>
  <c r="DM62" i="10"/>
  <c r="CW62" i="10"/>
  <c r="CV62" i="10"/>
  <c r="HH61" i="10"/>
  <c r="HK61" i="10" s="1"/>
  <c r="GX61" i="10"/>
  <c r="HA61" i="10" s="1"/>
  <c r="DM61" i="10"/>
  <c r="CW61" i="10"/>
  <c r="CV61" i="10"/>
  <c r="HH60" i="10"/>
  <c r="HJ60" i="10" s="1"/>
  <c r="GX60" i="10"/>
  <c r="GZ60" i="10" s="1"/>
  <c r="DM60" i="10"/>
  <c r="CW60" i="10"/>
  <c r="CV60" i="10"/>
  <c r="HH59" i="10"/>
  <c r="HK59" i="10" s="1"/>
  <c r="GX59" i="10"/>
  <c r="HA59" i="10" s="1"/>
  <c r="DM59" i="10"/>
  <c r="CW59" i="10"/>
  <c r="CV59" i="10"/>
  <c r="HH58" i="10"/>
  <c r="HK58" i="10" s="1"/>
  <c r="GX58" i="10"/>
  <c r="HA58" i="10" s="1"/>
  <c r="HH57" i="10"/>
  <c r="HJ57" i="10" s="1"/>
  <c r="GX57" i="10"/>
  <c r="GZ57" i="10" s="1"/>
  <c r="DM57" i="10"/>
  <c r="CW57" i="10"/>
  <c r="CV57" i="10"/>
  <c r="HK56" i="10"/>
  <c r="HH56" i="10"/>
  <c r="HJ56" i="10" s="1"/>
  <c r="GX56" i="10"/>
  <c r="HA56" i="10" s="1"/>
  <c r="DM56" i="10"/>
  <c r="CW56" i="10"/>
  <c r="CV56" i="10"/>
  <c r="HH55" i="10"/>
  <c r="HK55" i="10" s="1"/>
  <c r="GX55" i="10"/>
  <c r="HA55" i="10" s="1"/>
  <c r="DM55" i="10"/>
  <c r="CW55" i="10"/>
  <c r="CV55" i="10"/>
  <c r="HM54" i="10"/>
  <c r="HH54" i="10"/>
  <c r="HK54" i="10" s="1"/>
  <c r="GX54" i="10"/>
  <c r="HA54" i="10" s="1"/>
  <c r="DM54" i="10"/>
  <c r="CW54" i="10"/>
  <c r="CV54" i="10"/>
  <c r="HH53" i="10"/>
  <c r="HK53" i="10" s="1"/>
  <c r="GX53" i="10"/>
  <c r="HA53" i="10" s="1"/>
  <c r="DM53" i="10"/>
  <c r="CW53" i="10"/>
  <c r="CV53" i="10"/>
  <c r="HH52" i="10"/>
  <c r="HK52" i="10" s="1"/>
  <c r="GX52" i="10"/>
  <c r="HA52" i="10" s="1"/>
  <c r="DM52" i="10"/>
  <c r="CW52" i="10"/>
  <c r="CV52" i="10"/>
  <c r="IH51" i="10"/>
  <c r="B41" i="52" s="1"/>
  <c r="HX51" i="10"/>
  <c r="HO51" i="10"/>
  <c r="HU51" i="10" s="1"/>
  <c r="HW51" i="10" s="1"/>
  <c r="G20" i="52" s="1"/>
  <c r="HN51" i="10"/>
  <c r="B20" i="52" s="1"/>
  <c r="HH51" i="10"/>
  <c r="HJ51" i="10" s="1"/>
  <c r="GX51" i="10"/>
  <c r="HA51" i="10" s="1"/>
  <c r="DM51" i="10"/>
  <c r="CW51" i="10"/>
  <c r="CV51" i="10"/>
  <c r="IK50" i="10"/>
  <c r="IJ50" i="10"/>
  <c r="IE50" i="10"/>
  <c r="IA50" i="10"/>
  <c r="HY50" i="10"/>
  <c r="HU50" i="10"/>
  <c r="HQ50" i="10"/>
  <c r="HO50" i="10"/>
  <c r="HH50" i="10"/>
  <c r="HM50" i="10" s="1"/>
  <c r="GX50" i="10"/>
  <c r="HC50" i="10" s="1"/>
  <c r="DM50" i="10"/>
  <c r="CW50" i="10"/>
  <c r="CV50" i="10"/>
  <c r="IK49" i="10"/>
  <c r="IJ49" i="10"/>
  <c r="IE49" i="10"/>
  <c r="IA49" i="10"/>
  <c r="HY49" i="10"/>
  <c r="HQ49" i="10"/>
  <c r="HH49" i="10"/>
  <c r="HM49" i="10" s="1"/>
  <c r="GX49" i="10"/>
  <c r="HC49" i="10" s="1"/>
  <c r="DM49" i="10"/>
  <c r="CW49" i="10"/>
  <c r="CV49" i="10"/>
  <c r="IK48" i="10"/>
  <c r="IJ48" i="10"/>
  <c r="IA48" i="10"/>
  <c r="HY48" i="10"/>
  <c r="IE48" i="10" s="1"/>
  <c r="HU48" i="10"/>
  <c r="HQ48" i="10"/>
  <c r="HO48" i="10"/>
  <c r="HH48" i="10"/>
  <c r="HM48" i="10" s="1"/>
  <c r="GX48" i="10"/>
  <c r="HC48" i="10" s="1"/>
  <c r="DM48" i="10"/>
  <c r="CW48" i="10"/>
  <c r="CV48" i="10"/>
  <c r="IK47" i="10"/>
  <c r="IJ47" i="10"/>
  <c r="IE47" i="10"/>
  <c r="IA47" i="10"/>
  <c r="HY47" i="10"/>
  <c r="HU47" i="10"/>
  <c r="HQ47" i="10"/>
  <c r="HO47" i="10"/>
  <c r="HM47" i="10"/>
  <c r="HH47" i="10"/>
  <c r="HJ47" i="10" s="1"/>
  <c r="GX47" i="10"/>
  <c r="GZ47" i="10" s="1"/>
  <c r="DM47" i="10"/>
  <c r="CW47" i="10"/>
  <c r="CV47" i="10"/>
  <c r="IH46" i="10"/>
  <c r="IE46" i="10"/>
  <c r="IG46" i="10" s="1"/>
  <c r="G29" i="52" s="1"/>
  <c r="HZ46" i="10"/>
  <c r="HY46" i="10"/>
  <c r="HX46" i="10"/>
  <c r="HU46" i="10"/>
  <c r="HW46" i="10" s="1"/>
  <c r="G19" i="52" s="1"/>
  <c r="HP46" i="10"/>
  <c r="HO46" i="10"/>
  <c r="HN46" i="10"/>
  <c r="B19" i="52" s="1"/>
  <c r="HH46" i="10"/>
  <c r="HK46" i="10" s="1"/>
  <c r="GX46" i="10"/>
  <c r="HA46" i="10" s="1"/>
  <c r="IK45" i="10"/>
  <c r="IE45" i="10"/>
  <c r="IA45" i="10"/>
  <c r="HY45" i="10"/>
  <c r="HU45" i="10"/>
  <c r="HQ45" i="10"/>
  <c r="HO45" i="10"/>
  <c r="HH45" i="10"/>
  <c r="HM45" i="10" s="1"/>
  <c r="GX45" i="10"/>
  <c r="HC45" i="10" s="1"/>
  <c r="IK44" i="10"/>
  <c r="IE44" i="10"/>
  <c r="IA44" i="10"/>
  <c r="HY44" i="10"/>
  <c r="HU44" i="10"/>
  <c r="HQ44" i="10"/>
  <c r="HO44" i="10"/>
  <c r="HH44" i="10"/>
  <c r="HM44" i="10" s="1"/>
  <c r="FX44" i="10"/>
  <c r="FB44" i="10"/>
  <c r="FA44" i="10"/>
  <c r="DM44" i="10"/>
  <c r="DL44" i="10"/>
  <c r="CW44" i="10"/>
  <c r="CV44" i="10"/>
  <c r="JB43" i="10"/>
  <c r="IW43" i="10"/>
  <c r="IK43" i="10"/>
  <c r="IE43" i="10"/>
  <c r="IA43" i="10"/>
  <c r="HY43" i="10"/>
  <c r="HU43" i="10"/>
  <c r="HS43" i="10"/>
  <c r="HQ43" i="10"/>
  <c r="HO43" i="10"/>
  <c r="HH43" i="10"/>
  <c r="HM43" i="10" s="1"/>
  <c r="GX43" i="10"/>
  <c r="HC43" i="10" s="1"/>
  <c r="FX43" i="10"/>
  <c r="FB43" i="10"/>
  <c r="FA43" i="10"/>
  <c r="DM43" i="10"/>
  <c r="DL43" i="10"/>
  <c r="CW43" i="10"/>
  <c r="CV43" i="10"/>
  <c r="AZ43" i="10"/>
  <c r="AQ43" i="10"/>
  <c r="IM50" i="10" s="1"/>
  <c r="AB43" i="10"/>
  <c r="IC50" i="10" s="1"/>
  <c r="W43" i="10"/>
  <c r="U43" i="10"/>
  <c r="S43" i="10"/>
  <c r="M43" i="10"/>
  <c r="HS50" i="10" s="1"/>
  <c r="H43" i="10"/>
  <c r="F43" i="10"/>
  <c r="D43" i="10"/>
  <c r="JB42" i="10"/>
  <c r="IW42" i="10"/>
  <c r="IK42" i="10"/>
  <c r="IE42" i="10"/>
  <c r="IA42" i="10"/>
  <c r="HY42" i="10"/>
  <c r="HU42" i="10"/>
  <c r="HQ42" i="10"/>
  <c r="HO42" i="10"/>
  <c r="HH42" i="10"/>
  <c r="HM42" i="10" s="1"/>
  <c r="GX42" i="10"/>
  <c r="HC42" i="10" s="1"/>
  <c r="FX42" i="10"/>
  <c r="FB42" i="10"/>
  <c r="FA42" i="10"/>
  <c r="DM42" i="10"/>
  <c r="CW42" i="10"/>
  <c r="CV42" i="10"/>
  <c r="AZ42" i="10"/>
  <c r="AQ42" i="10"/>
  <c r="BX42" i="10" s="1"/>
  <c r="AB42" i="10"/>
  <c r="IC49" i="10" s="1"/>
  <c r="W42" i="10"/>
  <c r="U42" i="10"/>
  <c r="S42" i="10"/>
  <c r="M42" i="10"/>
  <c r="HS49" i="10" s="1"/>
  <c r="H42" i="10"/>
  <c r="F42" i="10"/>
  <c r="JB41" i="10"/>
  <c r="IW41" i="10"/>
  <c r="IH41" i="10"/>
  <c r="B37" i="52" s="1"/>
  <c r="IE41" i="10"/>
  <c r="IG41" i="10" s="1"/>
  <c r="G28" i="52" s="1"/>
  <c r="HZ41" i="10"/>
  <c r="HY41" i="10"/>
  <c r="HX41" i="10"/>
  <c r="B28" i="52" s="1"/>
  <c r="HO41" i="10"/>
  <c r="HN41" i="10"/>
  <c r="B18" i="52" s="1"/>
  <c r="HH41" i="10"/>
  <c r="HM41" i="10" s="1"/>
  <c r="GX41" i="10"/>
  <c r="HC41" i="10" s="1"/>
  <c r="FX41" i="10"/>
  <c r="FB41" i="10"/>
  <c r="FA41" i="10"/>
  <c r="DM41" i="10"/>
  <c r="CW41" i="10"/>
  <c r="CV41" i="10"/>
  <c r="AZ41" i="10"/>
  <c r="AQ41" i="10"/>
  <c r="IM48" i="10" s="1"/>
  <c r="AB41" i="10"/>
  <c r="IC48" i="10" s="1"/>
  <c r="W41" i="10"/>
  <c r="Z7" i="10" s="1"/>
  <c r="DA8" i="10" s="1"/>
  <c r="DA32" i="10" s="1"/>
  <c r="U41" i="10"/>
  <c r="S41" i="10"/>
  <c r="M41" i="10"/>
  <c r="BM41" i="10" s="1"/>
  <c r="H41" i="10"/>
  <c r="F41" i="10"/>
  <c r="D41" i="10"/>
  <c r="JB40" i="10"/>
  <c r="IW40" i="10"/>
  <c r="IK40" i="10"/>
  <c r="IE40" i="10"/>
  <c r="IA40" i="10"/>
  <c r="HY40" i="10"/>
  <c r="HQ40" i="10"/>
  <c r="HO40" i="10"/>
  <c r="HU40" i="10" s="1"/>
  <c r="HH40" i="10"/>
  <c r="HM40" i="10" s="1"/>
  <c r="GX40" i="10"/>
  <c r="HC40" i="10" s="1"/>
  <c r="FX40" i="10"/>
  <c r="FB40" i="10"/>
  <c r="FA40" i="10"/>
  <c r="DM40" i="10"/>
  <c r="CW40" i="10"/>
  <c r="CV40" i="10"/>
  <c r="AZ40" i="10"/>
  <c r="AQ40" i="10"/>
  <c r="IM47" i="10" s="1"/>
  <c r="AB40" i="10"/>
  <c r="W40" i="10"/>
  <c r="U40" i="10"/>
  <c r="S40" i="10"/>
  <c r="M40" i="10"/>
  <c r="BL40" i="10" s="1"/>
  <c r="H40" i="10"/>
  <c r="F40" i="10"/>
  <c r="D40" i="10"/>
  <c r="JB39" i="10"/>
  <c r="IW39" i="10"/>
  <c r="IK39" i="10"/>
  <c r="IE39" i="10"/>
  <c r="IA39" i="10"/>
  <c r="HY39" i="10"/>
  <c r="HU39" i="10"/>
  <c r="HQ39" i="10"/>
  <c r="HO39" i="10"/>
  <c r="HH39" i="10"/>
  <c r="HJ39" i="10" s="1"/>
  <c r="GX39" i="10"/>
  <c r="GZ39" i="10" s="1"/>
  <c r="FX39" i="10"/>
  <c r="FB39" i="10"/>
  <c r="FA39" i="10"/>
  <c r="DM39" i="10"/>
  <c r="CW39" i="10"/>
  <c r="CV39" i="10"/>
  <c r="AZ39" i="10"/>
  <c r="AQ39" i="10"/>
  <c r="IM45" i="10" s="1"/>
  <c r="AB39" i="10"/>
  <c r="IC45" i="10" s="1"/>
  <c r="W39" i="10"/>
  <c r="U39" i="10"/>
  <c r="S39" i="10"/>
  <c r="M39" i="10"/>
  <c r="HS45" i="10" s="1"/>
  <c r="H39" i="10"/>
  <c r="F39" i="10"/>
  <c r="D39" i="10"/>
  <c r="JB38" i="10"/>
  <c r="IW38" i="10"/>
  <c r="IK38" i="10"/>
  <c r="IE38" i="10"/>
  <c r="IA38" i="10"/>
  <c r="HY38" i="10"/>
  <c r="HU38" i="10"/>
  <c r="HQ38" i="10"/>
  <c r="HO38" i="10"/>
  <c r="HH38" i="10"/>
  <c r="HM38" i="10" s="1"/>
  <c r="GX38" i="10"/>
  <c r="HC38" i="10" s="1"/>
  <c r="AZ38" i="10"/>
  <c r="AQ38" i="10"/>
  <c r="IM44" i="10" s="1"/>
  <c r="AB38" i="10"/>
  <c r="IC44" i="10" s="1"/>
  <c r="W38" i="10"/>
  <c r="U38" i="10"/>
  <c r="S38" i="10"/>
  <c r="M38" i="10"/>
  <c r="H38" i="10"/>
  <c r="F38" i="10"/>
  <c r="D38" i="10"/>
  <c r="JB37" i="10"/>
  <c r="IW37" i="10"/>
  <c r="IK37" i="10"/>
  <c r="IE37" i="10"/>
  <c r="IA37" i="10"/>
  <c r="HY37" i="10"/>
  <c r="HU37" i="10"/>
  <c r="HQ37" i="10"/>
  <c r="HO37" i="10"/>
  <c r="HM37" i="10"/>
  <c r="HH37" i="10"/>
  <c r="HK37" i="10" s="1"/>
  <c r="GZ37" i="10"/>
  <c r="GX37" i="10"/>
  <c r="HA37" i="10" s="1"/>
  <c r="FX37" i="10"/>
  <c r="FB37" i="10"/>
  <c r="FA37" i="10"/>
  <c r="DM37" i="10"/>
  <c r="CW37" i="10"/>
  <c r="CV37" i="10"/>
  <c r="AZ37" i="10"/>
  <c r="AQ37" i="10"/>
  <c r="IM43" i="10" s="1"/>
  <c r="AB37" i="10"/>
  <c r="IC43" i="10" s="1"/>
  <c r="W37" i="10"/>
  <c r="U37" i="10"/>
  <c r="S37" i="10"/>
  <c r="M37" i="10"/>
  <c r="BM37" i="10" s="1"/>
  <c r="H37" i="10"/>
  <c r="F37" i="10"/>
  <c r="D37" i="10"/>
  <c r="JB36" i="10"/>
  <c r="IW36" i="10"/>
  <c r="HY36" i="10"/>
  <c r="IE36" i="10" s="1"/>
  <c r="IG36" i="10" s="1"/>
  <c r="G27" i="52" s="1"/>
  <c r="HX36" i="10"/>
  <c r="B27" i="52" s="1"/>
  <c r="HU36" i="10"/>
  <c r="HW36" i="10" s="1"/>
  <c r="G17" i="52" s="1"/>
  <c r="HP36" i="10"/>
  <c r="HO36" i="10"/>
  <c r="HN36" i="10"/>
  <c r="B17" i="52" s="1"/>
  <c r="HH36" i="10"/>
  <c r="HK36" i="10" s="1"/>
  <c r="GX36" i="10"/>
  <c r="HA36" i="10" s="1"/>
  <c r="FX36" i="10"/>
  <c r="FB36" i="10"/>
  <c r="FA36" i="10"/>
  <c r="DM36" i="10"/>
  <c r="CW36" i="10"/>
  <c r="CV36" i="10"/>
  <c r="AZ36" i="10"/>
  <c r="AQ36" i="10"/>
  <c r="GL33" i="10" s="1"/>
  <c r="AB36" i="10"/>
  <c r="W36" i="10"/>
  <c r="U36" i="10"/>
  <c r="S36" i="10"/>
  <c r="M36" i="10"/>
  <c r="AM4" i="10" s="1"/>
  <c r="CY13" i="10" s="1"/>
  <c r="CY37" i="10" s="1"/>
  <c r="CY57" i="10" s="1"/>
  <c r="H36" i="10"/>
  <c r="F36" i="10"/>
  <c r="D36" i="10"/>
  <c r="JB35" i="10"/>
  <c r="IW35" i="10"/>
  <c r="IE35" i="10"/>
  <c r="IA35" i="10"/>
  <c r="HY35" i="10"/>
  <c r="HU35" i="10"/>
  <c r="HQ35" i="10"/>
  <c r="HO35" i="10"/>
  <c r="HK35" i="10"/>
  <c r="HH35" i="10"/>
  <c r="HM35" i="10" s="1"/>
  <c r="FX35" i="10"/>
  <c r="FB35" i="10"/>
  <c r="FA35" i="10"/>
  <c r="DM35" i="10"/>
  <c r="CW35" i="10"/>
  <c r="CV35" i="10"/>
  <c r="AZ35" i="10"/>
  <c r="AQ35" i="10"/>
  <c r="IM40" i="10" s="1"/>
  <c r="AB35" i="10"/>
  <c r="IC40" i="10" s="1"/>
  <c r="W35" i="10"/>
  <c r="U35" i="10"/>
  <c r="S35" i="10"/>
  <c r="M35" i="10"/>
  <c r="GX35" i="10" s="1"/>
  <c r="H35" i="10"/>
  <c r="F35" i="10"/>
  <c r="D35" i="10"/>
  <c r="JB34" i="10"/>
  <c r="IW34" i="10"/>
  <c r="IE34" i="10"/>
  <c r="IA34" i="10"/>
  <c r="HY34" i="10"/>
  <c r="HU34" i="10"/>
  <c r="HQ34" i="10"/>
  <c r="HO34" i="10"/>
  <c r="HJ34" i="10"/>
  <c r="HH34" i="10"/>
  <c r="HM34" i="10" s="1"/>
  <c r="GX34" i="10"/>
  <c r="HC34" i="10" s="1"/>
  <c r="GO34" i="10"/>
  <c r="FX34" i="10"/>
  <c r="FB34" i="10"/>
  <c r="FA34" i="10"/>
  <c r="DM34" i="10"/>
  <c r="CW34" i="10"/>
  <c r="CV34" i="10"/>
  <c r="AZ34" i="10"/>
  <c r="AQ34" i="10"/>
  <c r="BX34" i="10" s="1"/>
  <c r="AB34" i="10"/>
  <c r="Z9" i="10" s="1"/>
  <c r="DA10" i="10" s="1"/>
  <c r="DA34" i="10" s="1"/>
  <c r="W34" i="10"/>
  <c r="U34" i="10"/>
  <c r="S34" i="10"/>
  <c r="M34" i="10"/>
  <c r="HS39" i="10" s="1"/>
  <c r="H34" i="10"/>
  <c r="F34" i="10"/>
  <c r="D34" i="10"/>
  <c r="JB33" i="10"/>
  <c r="IW33" i="10"/>
  <c r="IA33" i="10"/>
  <c r="HU33" i="10"/>
  <c r="HQ33" i="10"/>
  <c r="HO33" i="10"/>
  <c r="HH33" i="10"/>
  <c r="HM33" i="10" s="1"/>
  <c r="GX33" i="10"/>
  <c r="HC33" i="10" s="1"/>
  <c r="FX33" i="10"/>
  <c r="FB33" i="10"/>
  <c r="FA33" i="10"/>
  <c r="DM33" i="10"/>
  <c r="CW33" i="10"/>
  <c r="CV33" i="10"/>
  <c r="AZ33" i="10"/>
  <c r="AQ33" i="10"/>
  <c r="BW33" i="10" s="1"/>
  <c r="AB33" i="10"/>
  <c r="BR33" i="10" s="1"/>
  <c r="W33" i="10"/>
  <c r="U33" i="10"/>
  <c r="S33" i="10"/>
  <c r="M33" i="10"/>
  <c r="BM33" i="10" s="1"/>
  <c r="H33" i="10"/>
  <c r="F33" i="10"/>
  <c r="D33" i="10"/>
  <c r="JB32" i="10"/>
  <c r="IW32" i="10"/>
  <c r="IE32" i="10"/>
  <c r="IA32" i="10"/>
  <c r="HY32" i="10"/>
  <c r="HU32" i="10"/>
  <c r="HQ32" i="10"/>
  <c r="HO32" i="10"/>
  <c r="HM32" i="10"/>
  <c r="HK32" i="10"/>
  <c r="HH32" i="10"/>
  <c r="HJ32" i="10" s="1"/>
  <c r="HC32" i="10"/>
  <c r="GX32" i="10"/>
  <c r="GZ32" i="10" s="1"/>
  <c r="GM32" i="10"/>
  <c r="FX32" i="10"/>
  <c r="FB32" i="10"/>
  <c r="FA32" i="10"/>
  <c r="DM32" i="10"/>
  <c r="CW32" i="10"/>
  <c r="CV32" i="10"/>
  <c r="AZ32" i="10"/>
  <c r="AQ32" i="10"/>
  <c r="IM37" i="10" s="1"/>
  <c r="AB32" i="10"/>
  <c r="IC37" i="10" s="1"/>
  <c r="W32" i="10"/>
  <c r="U32" i="10"/>
  <c r="S32" i="10"/>
  <c r="M32" i="10"/>
  <c r="AM7" i="10" s="1"/>
  <c r="CY16" i="10" s="1"/>
  <c r="CY40" i="10" s="1"/>
  <c r="CY60" i="10" s="1"/>
  <c r="H32" i="10"/>
  <c r="F32" i="10"/>
  <c r="D32" i="10"/>
  <c r="JB31" i="10"/>
  <c r="IW31" i="10"/>
  <c r="IO31" i="10"/>
  <c r="IQ31" i="10" s="1"/>
  <c r="G35" i="52" s="1"/>
  <c r="IJ31" i="10"/>
  <c r="II31" i="10"/>
  <c r="IH31" i="10"/>
  <c r="B35" i="52" s="1"/>
  <c r="IE31" i="10"/>
  <c r="IG31" i="10" s="1"/>
  <c r="G25" i="52" s="1"/>
  <c r="HZ31" i="10"/>
  <c r="HY31" i="10"/>
  <c r="HX31" i="10"/>
  <c r="HU31" i="10"/>
  <c r="HW31" i="10" s="1"/>
  <c r="G15" i="52" s="1"/>
  <c r="HP31" i="10"/>
  <c r="HO31" i="10"/>
  <c r="HN31" i="10"/>
  <c r="HH31" i="10"/>
  <c r="HK31" i="10" s="1"/>
  <c r="GZ31" i="10"/>
  <c r="GX31" i="10"/>
  <c r="HC31" i="10" s="1"/>
  <c r="FX31" i="10"/>
  <c r="FB31" i="10"/>
  <c r="FA31" i="10"/>
  <c r="DM31" i="10"/>
  <c r="CW31" i="10"/>
  <c r="CV31" i="10"/>
  <c r="AB31" i="10"/>
  <c r="IC35" i="10" s="1"/>
  <c r="W31" i="10"/>
  <c r="U31" i="10"/>
  <c r="S31" i="10"/>
  <c r="M31" i="10"/>
  <c r="H31" i="10"/>
  <c r="F31" i="10"/>
  <c r="D31" i="10"/>
  <c r="JB30" i="10"/>
  <c r="IW30" i="10"/>
  <c r="IO30" i="10"/>
  <c r="IK30" i="10"/>
  <c r="II30" i="10"/>
  <c r="IE30" i="10"/>
  <c r="IA30" i="10"/>
  <c r="HY30" i="10"/>
  <c r="HU30" i="10"/>
  <c r="HQ30" i="10"/>
  <c r="HO30" i="10"/>
  <c r="HH30" i="10"/>
  <c r="HM30" i="10" s="1"/>
  <c r="GX30" i="10"/>
  <c r="HC30" i="10" s="1"/>
  <c r="FX30" i="10"/>
  <c r="FB30" i="10"/>
  <c r="FA30" i="10"/>
  <c r="DM30" i="10"/>
  <c r="CW30" i="10"/>
  <c r="CV30" i="10"/>
  <c r="AB30" i="10"/>
  <c r="IC34" i="10" s="1"/>
  <c r="W30" i="10"/>
  <c r="U30" i="10"/>
  <c r="S30" i="10"/>
  <c r="M30" i="10"/>
  <c r="HS34" i="10" s="1"/>
  <c r="H30" i="10"/>
  <c r="F30" i="10"/>
  <c r="D30" i="10"/>
  <c r="JB29" i="10"/>
  <c r="IW29" i="10"/>
  <c r="IO29" i="10"/>
  <c r="IK29" i="10"/>
  <c r="II29" i="10"/>
  <c r="IE29" i="10"/>
  <c r="IA29" i="10"/>
  <c r="HY29" i="10"/>
  <c r="HU29" i="10"/>
  <c r="HQ29" i="10"/>
  <c r="HO29" i="10"/>
  <c r="HH29" i="10"/>
  <c r="HM29" i="10" s="1"/>
  <c r="GX29" i="10"/>
  <c r="HC29" i="10" s="1"/>
  <c r="FX29" i="10"/>
  <c r="FB29" i="10"/>
  <c r="FA29" i="10"/>
  <c r="DM29" i="10"/>
  <c r="CW29" i="10"/>
  <c r="CV29" i="10"/>
  <c r="AB29" i="10"/>
  <c r="IC33" i="10" s="1"/>
  <c r="W29" i="10"/>
  <c r="U29" i="10"/>
  <c r="M29" i="10"/>
  <c r="HS33" i="10" s="1"/>
  <c r="H29" i="10"/>
  <c r="F29" i="10"/>
  <c r="D29" i="10"/>
  <c r="JB28" i="10"/>
  <c r="IW28" i="10"/>
  <c r="IO28" i="10"/>
  <c r="IK28" i="10"/>
  <c r="II28" i="10"/>
  <c r="IE28" i="10"/>
  <c r="IA28" i="10"/>
  <c r="HY28" i="10"/>
  <c r="HU28" i="10"/>
  <c r="HQ28" i="10"/>
  <c r="HO28" i="10"/>
  <c r="HJ28" i="10"/>
  <c r="HH28" i="10"/>
  <c r="HM28" i="10" s="1"/>
  <c r="GX28" i="10"/>
  <c r="HC28" i="10" s="1"/>
  <c r="FX28" i="10"/>
  <c r="FB28" i="10"/>
  <c r="FA28" i="10"/>
  <c r="DM28" i="10"/>
  <c r="CW28" i="10"/>
  <c r="CV28" i="10"/>
  <c r="AB28" i="10"/>
  <c r="IC32" i="10" s="1"/>
  <c r="W28" i="10"/>
  <c r="U28" i="10"/>
  <c r="S28" i="10"/>
  <c r="M28" i="10"/>
  <c r="BL28" i="10" s="1"/>
  <c r="H28" i="10"/>
  <c r="F28" i="10"/>
  <c r="D28" i="10"/>
  <c r="JG27" i="10"/>
  <c r="JB27" i="10"/>
  <c r="IW27" i="10"/>
  <c r="IO27" i="10"/>
  <c r="IK27" i="10"/>
  <c r="II27" i="10"/>
  <c r="IE27" i="10"/>
  <c r="IA27" i="10"/>
  <c r="HY27" i="10"/>
  <c r="HU27" i="10"/>
  <c r="HQ27" i="10"/>
  <c r="HO27" i="10"/>
  <c r="HH27" i="10"/>
  <c r="HM27" i="10" s="1"/>
  <c r="GX27" i="10"/>
  <c r="HC27" i="10" s="1"/>
  <c r="FX27" i="10"/>
  <c r="FB27" i="10"/>
  <c r="FA27" i="10"/>
  <c r="DM27" i="10"/>
  <c r="CW27" i="10"/>
  <c r="CV27" i="10"/>
  <c r="AQ27" i="10"/>
  <c r="BY27" i="10" s="1"/>
  <c r="AL27" i="10"/>
  <c r="AJ27" i="10"/>
  <c r="AH27" i="10"/>
  <c r="AB27" i="10"/>
  <c r="IC30" i="10" s="1"/>
  <c r="W27" i="10"/>
  <c r="U27" i="10"/>
  <c r="S27" i="10"/>
  <c r="M27" i="10"/>
  <c r="HS30" i="10" s="1"/>
  <c r="H27" i="10"/>
  <c r="F27" i="10"/>
  <c r="D27" i="10"/>
  <c r="JG26" i="10"/>
  <c r="JB26" i="10"/>
  <c r="IW26" i="10"/>
  <c r="IH26" i="10"/>
  <c r="IE26" i="10"/>
  <c r="IG26" i="10" s="1"/>
  <c r="G24" i="52" s="1"/>
  <c r="HZ26" i="10"/>
  <c r="HY26" i="10"/>
  <c r="HX26" i="10"/>
  <c r="B24" i="52" s="1"/>
  <c r="HO26" i="10"/>
  <c r="HP26" i="10" s="1"/>
  <c r="HN26" i="10"/>
  <c r="HM26" i="10"/>
  <c r="HK26" i="10"/>
  <c r="HH26" i="10"/>
  <c r="HJ26" i="10" s="1"/>
  <c r="GX26" i="10"/>
  <c r="GZ26" i="10" s="1"/>
  <c r="AQ26" i="10"/>
  <c r="BX26" i="10" s="1"/>
  <c r="AL26" i="10"/>
  <c r="AJ26" i="10"/>
  <c r="AH26" i="10"/>
  <c r="AB26" i="10"/>
  <c r="BS26" i="10" s="1"/>
  <c r="W26" i="10"/>
  <c r="U26" i="10"/>
  <c r="S26" i="10"/>
  <c r="M26" i="10"/>
  <c r="HS29" i="10" s="1"/>
  <c r="H26" i="10"/>
  <c r="F26" i="10"/>
  <c r="D26" i="10"/>
  <c r="JG25" i="10"/>
  <c r="JB25" i="10"/>
  <c r="IW25" i="10"/>
  <c r="IK25" i="10"/>
  <c r="II25" i="10"/>
  <c r="IO25" i="10" s="1"/>
  <c r="IE25" i="10"/>
  <c r="IA25" i="10"/>
  <c r="HY25" i="10"/>
  <c r="HS25" i="10"/>
  <c r="HQ25" i="10"/>
  <c r="HH25" i="10"/>
  <c r="HJ25" i="10" s="1"/>
  <c r="GX25" i="10"/>
  <c r="GZ25" i="10" s="1"/>
  <c r="AQ25" i="10"/>
  <c r="IM28" i="10" s="1"/>
  <c r="AL25" i="10"/>
  <c r="AJ25" i="10"/>
  <c r="AH25" i="10"/>
  <c r="AB25" i="10"/>
  <c r="BR25" i="10" s="1"/>
  <c r="W25" i="10"/>
  <c r="U25" i="10"/>
  <c r="S25" i="10"/>
  <c r="M25" i="10"/>
  <c r="HS28" i="10" s="1"/>
  <c r="H25" i="10"/>
  <c r="F25" i="10"/>
  <c r="D25" i="10"/>
  <c r="JG24" i="10"/>
  <c r="JB24" i="10"/>
  <c r="IW24" i="10"/>
  <c r="IO24" i="10"/>
  <c r="IK24" i="10"/>
  <c r="II24" i="10"/>
  <c r="IE24" i="10"/>
  <c r="IA24" i="10"/>
  <c r="HY24" i="10"/>
  <c r="HU24" i="10"/>
  <c r="HQ24" i="10"/>
  <c r="HO24" i="10"/>
  <c r="HH24" i="10"/>
  <c r="HM24" i="10" s="1"/>
  <c r="GX24" i="10"/>
  <c r="HC24" i="10" s="1"/>
  <c r="AQ24" i="10"/>
  <c r="BV24" i="10" s="1"/>
  <c r="AL24" i="10"/>
  <c r="AJ24" i="10"/>
  <c r="AH24" i="10"/>
  <c r="AB24" i="10"/>
  <c r="IC27" i="10" s="1"/>
  <c r="W24" i="10"/>
  <c r="U24" i="10"/>
  <c r="S24" i="10"/>
  <c r="M24" i="10"/>
  <c r="BL24" i="10" s="1"/>
  <c r="H24" i="10"/>
  <c r="F24" i="10"/>
  <c r="D24" i="10"/>
  <c r="JG23" i="10"/>
  <c r="JB23" i="10"/>
  <c r="IW23" i="10"/>
  <c r="IK23" i="10"/>
  <c r="IE23" i="10"/>
  <c r="IA23" i="10"/>
  <c r="HY23" i="10"/>
  <c r="HU23" i="10"/>
  <c r="HQ23" i="10"/>
  <c r="HO23" i="10"/>
  <c r="HH23" i="10"/>
  <c r="GX23" i="10"/>
  <c r="AQ23" i="10"/>
  <c r="GX87" i="10" s="1"/>
  <c r="AL23" i="10"/>
  <c r="II26" i="10" s="1"/>
  <c r="AJ23" i="10"/>
  <c r="AH23" i="10"/>
  <c r="AB23" i="10"/>
  <c r="IC25" i="10" s="1"/>
  <c r="W23" i="10"/>
  <c r="U23" i="10"/>
  <c r="S23" i="10"/>
  <c r="M23" i="10"/>
  <c r="BO23" i="10" s="1"/>
  <c r="H23" i="10"/>
  <c r="F23" i="10"/>
  <c r="JG22" i="10"/>
  <c r="JB22" i="10"/>
  <c r="IW22" i="10"/>
  <c r="IO22" i="10"/>
  <c r="IK22" i="10"/>
  <c r="II22" i="10"/>
  <c r="IE22" i="10"/>
  <c r="IA22" i="10"/>
  <c r="HY22" i="10"/>
  <c r="HU22" i="10"/>
  <c r="HQ22" i="10"/>
  <c r="HO22" i="10"/>
  <c r="HH22" i="10"/>
  <c r="HJ22" i="10" s="1"/>
  <c r="GX22" i="10"/>
  <c r="GZ22" i="10" s="1"/>
  <c r="AQ22" i="10"/>
  <c r="IM24" i="10" s="1"/>
  <c r="AL22" i="10"/>
  <c r="AJ22" i="10"/>
  <c r="AH22" i="10"/>
  <c r="AB22" i="10"/>
  <c r="BS22" i="10" s="1"/>
  <c r="W22" i="10"/>
  <c r="U22" i="10"/>
  <c r="S22" i="10"/>
  <c r="M22" i="10"/>
  <c r="H22" i="10"/>
  <c r="F22" i="10"/>
  <c r="D22" i="10"/>
  <c r="JG21" i="10"/>
  <c r="JB21" i="10"/>
  <c r="IW21" i="10"/>
  <c r="IO21" i="10"/>
  <c r="IQ21" i="10" s="1"/>
  <c r="G33" i="52" s="1"/>
  <c r="IJ21" i="10"/>
  <c r="II21" i="10"/>
  <c r="IH21" i="10"/>
  <c r="B33" i="52" s="1"/>
  <c r="HY21" i="10"/>
  <c r="IE21" i="10" s="1"/>
  <c r="IG21" i="10" s="1"/>
  <c r="G23" i="52" s="1"/>
  <c r="HX21" i="10"/>
  <c r="B23" i="52" s="1"/>
  <c r="HN21" i="10"/>
  <c r="B13" i="52" s="1"/>
  <c r="HH21" i="10"/>
  <c r="GX21" i="10"/>
  <c r="AQ21" i="10"/>
  <c r="IM23" i="10" s="1"/>
  <c r="AL21" i="10"/>
  <c r="AJ21" i="10"/>
  <c r="AB21" i="10"/>
  <c r="IC23" i="10" s="1"/>
  <c r="W21" i="10"/>
  <c r="U21" i="10"/>
  <c r="S21" i="10"/>
  <c r="M21" i="10"/>
  <c r="BM21" i="10" s="1"/>
  <c r="H21" i="10"/>
  <c r="F21" i="10"/>
  <c r="D21" i="10"/>
  <c r="JG20" i="10"/>
  <c r="JB20" i="10"/>
  <c r="IW20" i="10"/>
  <c r="IO20" i="10"/>
  <c r="IK20" i="10"/>
  <c r="II20" i="10"/>
  <c r="IE20" i="10"/>
  <c r="IA20" i="10"/>
  <c r="HY20" i="10"/>
  <c r="HU20" i="10"/>
  <c r="HQ20" i="10"/>
  <c r="HO20" i="10"/>
  <c r="HH20" i="10"/>
  <c r="HK20" i="10" s="1"/>
  <c r="GX20" i="10"/>
  <c r="HA20" i="10" s="1"/>
  <c r="FB20" i="10"/>
  <c r="FA20" i="10"/>
  <c r="DM20" i="10"/>
  <c r="DL20" i="10"/>
  <c r="CW20" i="10"/>
  <c r="CV20" i="10"/>
  <c r="CU20" i="10"/>
  <c r="CT20" i="10"/>
  <c r="AQ20" i="10"/>
  <c r="IM22" i="10" s="1"/>
  <c r="AL20" i="10"/>
  <c r="AJ20" i="10"/>
  <c r="AH20" i="10"/>
  <c r="AB20" i="10"/>
  <c r="IC22" i="10" s="1"/>
  <c r="W20" i="10"/>
  <c r="U20" i="10"/>
  <c r="S20" i="10"/>
  <c r="M20" i="10"/>
  <c r="HS22" i="10" s="1"/>
  <c r="H20" i="10"/>
  <c r="F20" i="10"/>
  <c r="D20" i="10"/>
  <c r="JG19" i="10"/>
  <c r="JB19" i="10"/>
  <c r="IW19" i="10"/>
  <c r="IO19" i="10"/>
  <c r="IK19" i="10"/>
  <c r="II19" i="10"/>
  <c r="IE19" i="10"/>
  <c r="IA19" i="10"/>
  <c r="HY19" i="10"/>
  <c r="HQ19" i="10"/>
  <c r="HO19" i="10"/>
  <c r="HU19" i="10" s="1"/>
  <c r="HH19" i="10"/>
  <c r="HK19" i="10" s="1"/>
  <c r="GX19" i="10"/>
  <c r="HA19" i="10" s="1"/>
  <c r="FB19" i="10"/>
  <c r="FA19" i="10"/>
  <c r="DM19" i="10"/>
  <c r="DL19" i="10"/>
  <c r="CW19" i="10"/>
  <c r="CV19" i="10"/>
  <c r="CU19" i="10"/>
  <c r="CT19" i="10"/>
  <c r="AQ19" i="10"/>
  <c r="BY19" i="10" s="1"/>
  <c r="AL19" i="10"/>
  <c r="AJ19" i="10"/>
  <c r="AH19" i="10"/>
  <c r="AB19" i="10"/>
  <c r="BT19" i="10" s="1"/>
  <c r="W19" i="10"/>
  <c r="U19" i="10"/>
  <c r="S19" i="10"/>
  <c r="M19" i="10"/>
  <c r="HS20" i="10" s="1"/>
  <c r="H19" i="10"/>
  <c r="F19" i="10"/>
  <c r="D19" i="10"/>
  <c r="JG18" i="10"/>
  <c r="JB18" i="10"/>
  <c r="IW18" i="10"/>
  <c r="IO18" i="10"/>
  <c r="IK18" i="10"/>
  <c r="II18" i="10"/>
  <c r="IE18" i="10"/>
  <c r="IA18" i="10"/>
  <c r="HY18" i="10"/>
  <c r="HU18" i="10"/>
  <c r="HQ18" i="10"/>
  <c r="HO18" i="10"/>
  <c r="HH18" i="10"/>
  <c r="HM18" i="10" s="1"/>
  <c r="FB18" i="10"/>
  <c r="FA18" i="10"/>
  <c r="DM18" i="10"/>
  <c r="CW18" i="10"/>
  <c r="CV18" i="10"/>
  <c r="CU18" i="10"/>
  <c r="CT18" i="10"/>
  <c r="AQ18" i="10"/>
  <c r="IM19" i="10" s="1"/>
  <c r="AL18" i="10"/>
  <c r="AJ18" i="10"/>
  <c r="AH18" i="10"/>
  <c r="AB18" i="10"/>
  <c r="IC19" i="10" s="1"/>
  <c r="W18" i="10"/>
  <c r="U18" i="10"/>
  <c r="S18" i="10"/>
  <c r="M18" i="10"/>
  <c r="HS19" i="10" s="1"/>
  <c r="H18" i="10"/>
  <c r="HO21" i="10" s="1"/>
  <c r="F18" i="10"/>
  <c r="D18" i="10"/>
  <c r="JG17" i="10"/>
  <c r="JB17" i="10"/>
  <c r="IW17" i="10"/>
  <c r="IO17" i="10"/>
  <c r="IK17" i="10"/>
  <c r="II17" i="10"/>
  <c r="IA17" i="10"/>
  <c r="HU17" i="10"/>
  <c r="HQ17" i="10"/>
  <c r="HO17" i="10"/>
  <c r="HH17" i="10"/>
  <c r="GX17" i="10"/>
  <c r="FB17" i="10"/>
  <c r="FA17" i="10"/>
  <c r="DM17" i="10"/>
  <c r="CW17" i="10"/>
  <c r="CV17" i="10"/>
  <c r="CU17" i="10"/>
  <c r="CT17" i="10"/>
  <c r="AQ17" i="10"/>
  <c r="IM18" i="10" s="1"/>
  <c r="AL17" i="10"/>
  <c r="AJ17" i="10"/>
  <c r="AH17" i="10"/>
  <c r="AB17" i="10"/>
  <c r="W17" i="10"/>
  <c r="U17" i="10"/>
  <c r="S17" i="10"/>
  <c r="M17" i="10"/>
  <c r="HS18" i="10" s="1"/>
  <c r="H17" i="10"/>
  <c r="F17" i="10"/>
  <c r="D17" i="10"/>
  <c r="JG16" i="10"/>
  <c r="JB16" i="10"/>
  <c r="IW16" i="10"/>
  <c r="IO16" i="10"/>
  <c r="IQ16" i="10" s="1"/>
  <c r="G32" i="52" s="1"/>
  <c r="IJ16" i="10"/>
  <c r="II16" i="10"/>
  <c r="IH16" i="10"/>
  <c r="B32" i="52" s="1"/>
  <c r="HX16" i="10"/>
  <c r="B22" i="52" s="1"/>
  <c r="HU16" i="10"/>
  <c r="HW16" i="10" s="1"/>
  <c r="G12" i="52" s="1"/>
  <c r="HP16" i="10"/>
  <c r="HO16" i="10"/>
  <c r="HN16" i="10"/>
  <c r="B12" i="52" s="1"/>
  <c r="HH16" i="10"/>
  <c r="HM16" i="10" s="1"/>
  <c r="GX16" i="10"/>
  <c r="HC16" i="10" s="1"/>
  <c r="FB16" i="10"/>
  <c r="FA16" i="10"/>
  <c r="DM16" i="10"/>
  <c r="CW16" i="10"/>
  <c r="CV16" i="10"/>
  <c r="CU16" i="10"/>
  <c r="CT16" i="10"/>
  <c r="BJ16" i="10"/>
  <c r="AQ16" i="10"/>
  <c r="AP2" i="10" s="1"/>
  <c r="DB11" i="10" s="1"/>
  <c r="AL16" i="10"/>
  <c r="AJ16" i="10"/>
  <c r="AH16" i="10"/>
  <c r="AB16" i="10"/>
  <c r="W16" i="10"/>
  <c r="U16" i="10"/>
  <c r="M16" i="10"/>
  <c r="H16" i="10"/>
  <c r="F16" i="10"/>
  <c r="D16" i="10"/>
  <c r="JG15" i="10"/>
  <c r="JB15" i="10"/>
  <c r="IW15" i="10"/>
  <c r="IO15" i="10"/>
  <c r="IK15" i="10"/>
  <c r="II15" i="10"/>
  <c r="IE15" i="10"/>
  <c r="IA15" i="10"/>
  <c r="HY15" i="10"/>
  <c r="HU15" i="10"/>
  <c r="HQ15" i="10"/>
  <c r="HO15" i="10"/>
  <c r="HH15" i="10"/>
  <c r="HJ15" i="10" s="1"/>
  <c r="HA15" i="10"/>
  <c r="GX15" i="10"/>
  <c r="GZ15" i="10" s="1"/>
  <c r="FB15" i="10"/>
  <c r="FA15" i="10"/>
  <c r="DM15" i="10"/>
  <c r="CW15" i="10"/>
  <c r="CV15" i="10"/>
  <c r="CU15" i="10"/>
  <c r="CT15" i="10"/>
  <c r="BO15" i="10"/>
  <c r="BJ15" i="10"/>
  <c r="AQ15" i="10"/>
  <c r="AL15" i="10"/>
  <c r="AJ15" i="10"/>
  <c r="AH15" i="10"/>
  <c r="AB15" i="10"/>
  <c r="W15" i="10"/>
  <c r="U15" i="10"/>
  <c r="S15" i="10"/>
  <c r="M15" i="10"/>
  <c r="HS15" i="10" s="1"/>
  <c r="H15" i="10"/>
  <c r="F15" i="10"/>
  <c r="D15" i="10"/>
  <c r="JG14" i="10"/>
  <c r="JB14" i="10"/>
  <c r="IW14" i="10"/>
  <c r="IO14" i="10"/>
  <c r="IK14" i="10"/>
  <c r="II14" i="10"/>
  <c r="IE14" i="10"/>
  <c r="IA14" i="10"/>
  <c r="HY14" i="10"/>
  <c r="HU14" i="10"/>
  <c r="HQ14" i="10"/>
  <c r="HO14" i="10"/>
  <c r="HH14" i="10"/>
  <c r="GX14" i="10"/>
  <c r="CT14" i="10"/>
  <c r="BJ14" i="10"/>
  <c r="AQ14" i="10"/>
  <c r="BX14" i="10" s="1"/>
  <c r="AL14" i="10"/>
  <c r="AJ14" i="10"/>
  <c r="AH14" i="10"/>
  <c r="AB14" i="10"/>
  <c r="W14" i="10"/>
  <c r="U14" i="10"/>
  <c r="S14" i="10"/>
  <c r="M14" i="10"/>
  <c r="H14" i="10"/>
  <c r="F14" i="10"/>
  <c r="D14" i="10"/>
  <c r="JG13" i="10"/>
  <c r="JB13" i="10"/>
  <c r="IW13" i="10"/>
  <c r="IO13" i="10"/>
  <c r="IK13" i="10"/>
  <c r="II13" i="10"/>
  <c r="IE13" i="10"/>
  <c r="IA13" i="10"/>
  <c r="HY13" i="10"/>
  <c r="HU13" i="10"/>
  <c r="HQ13" i="10"/>
  <c r="HO13" i="10"/>
  <c r="HH13" i="10"/>
  <c r="HJ13" i="10" s="1"/>
  <c r="GX13" i="10"/>
  <c r="GZ13" i="10" s="1"/>
  <c r="FB13" i="10"/>
  <c r="FA13" i="10"/>
  <c r="DM13" i="10"/>
  <c r="CW13" i="10"/>
  <c r="CV13" i="10"/>
  <c r="CU13" i="10"/>
  <c r="CT13" i="10"/>
  <c r="BJ13" i="10"/>
  <c r="AQ13" i="10"/>
  <c r="AL13" i="10"/>
  <c r="AJ13" i="10"/>
  <c r="AH13" i="10"/>
  <c r="AB13" i="10"/>
  <c r="BR13" i="10" s="1"/>
  <c r="W13" i="10"/>
  <c r="U13" i="10"/>
  <c r="S13" i="10"/>
  <c r="M13" i="10"/>
  <c r="HS13" i="10" s="1"/>
  <c r="H13" i="10"/>
  <c r="F13" i="10"/>
  <c r="D13" i="10"/>
  <c r="JG12" i="10"/>
  <c r="JB12" i="10"/>
  <c r="IW12" i="10"/>
  <c r="IO12" i="10"/>
  <c r="IK12" i="10"/>
  <c r="II12" i="10"/>
  <c r="IA12" i="10"/>
  <c r="HU12" i="10"/>
  <c r="HQ12" i="10"/>
  <c r="HO12" i="10"/>
  <c r="HH12" i="10"/>
  <c r="HM12" i="10" s="1"/>
  <c r="GX12" i="10"/>
  <c r="HA12" i="10" s="1"/>
  <c r="FB12" i="10"/>
  <c r="FA12" i="10"/>
  <c r="DM12" i="10"/>
  <c r="CW12" i="10"/>
  <c r="CV12" i="10"/>
  <c r="CU12" i="10"/>
  <c r="CT12" i="10"/>
  <c r="BJ12" i="10"/>
  <c r="AQ12" i="10"/>
  <c r="IM12" i="10" s="1"/>
  <c r="AL12" i="10"/>
  <c r="AJ12" i="10"/>
  <c r="AH12" i="10"/>
  <c r="AB12" i="10"/>
  <c r="BQ12" i="10" s="1"/>
  <c r="W12" i="10"/>
  <c r="HY16" i="10" s="1"/>
  <c r="U12" i="10"/>
  <c r="S12" i="10"/>
  <c r="M12" i="10"/>
  <c r="H12" i="10"/>
  <c r="F12" i="10"/>
  <c r="D12" i="10"/>
  <c r="HF11" i="10"/>
  <c r="HE11" i="10"/>
  <c r="GV11" i="10"/>
  <c r="GU11" i="10"/>
  <c r="FB11" i="10"/>
  <c r="FA11" i="10"/>
  <c r="DM11" i="10"/>
  <c r="CW11" i="10"/>
  <c r="CV11" i="10"/>
  <c r="CU11" i="10"/>
  <c r="CT11" i="10"/>
  <c r="FB10" i="10"/>
  <c r="FA10" i="10"/>
  <c r="DM10" i="10"/>
  <c r="CW10" i="10"/>
  <c r="CV10" i="10"/>
  <c r="CU10" i="10"/>
  <c r="CT10" i="10"/>
  <c r="AH10" i="10"/>
  <c r="AG10" i="10"/>
  <c r="HG11" i="10" s="1"/>
  <c r="S10" i="10"/>
  <c r="R10" i="10"/>
  <c r="GW11" i="10" s="1"/>
  <c r="FB9" i="10"/>
  <c r="FA9" i="10"/>
  <c r="DM9" i="10"/>
  <c r="CW9" i="10"/>
  <c r="CV9" i="10"/>
  <c r="CU9" i="10"/>
  <c r="CT9" i="10"/>
  <c r="AO9" i="10"/>
  <c r="DA18" i="10" s="1"/>
  <c r="DA42" i="10" s="1"/>
  <c r="AN9" i="10"/>
  <c r="CZ18" i="10" s="1"/>
  <c r="CZ42" i="10" s="1"/>
  <c r="CZ62" i="10" s="1"/>
  <c r="AM9" i="10"/>
  <c r="CY18" i="10" s="1"/>
  <c r="CY42" i="10" s="1"/>
  <c r="CY62" i="10" s="1"/>
  <c r="AH9" i="10"/>
  <c r="AG9" i="10"/>
  <c r="R36" i="10" s="1"/>
  <c r="Y9" i="10"/>
  <c r="CZ10" i="10" s="1"/>
  <c r="CZ34" i="10" s="1"/>
  <c r="CZ54" i="10" s="1"/>
  <c r="S9" i="10"/>
  <c r="R9" i="10"/>
  <c r="C41" i="10" s="1"/>
  <c r="FB8" i="10"/>
  <c r="FA8" i="10"/>
  <c r="DM8" i="10"/>
  <c r="CW8" i="10"/>
  <c r="CV8" i="10"/>
  <c r="CU8" i="10"/>
  <c r="CT8" i="10"/>
  <c r="AN8" i="10"/>
  <c r="CZ17" i="10" s="1"/>
  <c r="CZ41" i="10" s="1"/>
  <c r="CZ61" i="10" s="1"/>
  <c r="AM8" i="10"/>
  <c r="CY17" i="10" s="1"/>
  <c r="CY41" i="10" s="1"/>
  <c r="CY61" i="10" s="1"/>
  <c r="AH8" i="10"/>
  <c r="AG8" i="10"/>
  <c r="C24" i="10" s="1"/>
  <c r="AA8" i="10"/>
  <c r="DB9" i="10" s="1"/>
  <c r="Y8" i="10"/>
  <c r="CZ9" i="10" s="1"/>
  <c r="CZ33" i="10" s="1"/>
  <c r="CZ53" i="10" s="1"/>
  <c r="S8" i="10"/>
  <c r="R8" i="10"/>
  <c r="C17" i="10" s="1"/>
  <c r="I8" i="10"/>
  <c r="FB7" i="10"/>
  <c r="FA7" i="10"/>
  <c r="DM7" i="10"/>
  <c r="CW7" i="10"/>
  <c r="CV7" i="10"/>
  <c r="CU7" i="10"/>
  <c r="CT7" i="10"/>
  <c r="AN7" i="10"/>
  <c r="CZ16" i="10" s="1"/>
  <c r="CZ40" i="10" s="1"/>
  <c r="CZ60" i="10" s="1"/>
  <c r="AL7" i="10"/>
  <c r="AH7" i="10"/>
  <c r="AG7" i="10"/>
  <c r="C32" i="10" s="1"/>
  <c r="AA7" i="10"/>
  <c r="DB8" i="10" s="1"/>
  <c r="Y7" i="10"/>
  <c r="CZ8" i="10" s="1"/>
  <c r="CZ32" i="10" s="1"/>
  <c r="CZ52" i="10" s="1"/>
  <c r="X7" i="10"/>
  <c r="CY8" i="10" s="1"/>
  <c r="CY32" i="10" s="1"/>
  <c r="CY52" i="10" s="1"/>
  <c r="W7" i="10"/>
  <c r="S7" i="10"/>
  <c r="R7" i="10"/>
  <c r="C35" i="10" s="1"/>
  <c r="FB6" i="10"/>
  <c r="FA6" i="10"/>
  <c r="DM6" i="10"/>
  <c r="CW6" i="10"/>
  <c r="CV6" i="10"/>
  <c r="CU6" i="10"/>
  <c r="CT6" i="10"/>
  <c r="AP6" i="10"/>
  <c r="DB15" i="10" s="1"/>
  <c r="AN6" i="10"/>
  <c r="CZ15" i="10" s="1"/>
  <c r="CZ39" i="10" s="1"/>
  <c r="CZ59" i="10" s="1"/>
  <c r="AH6" i="10"/>
  <c r="AG6" i="10"/>
  <c r="EH39" i="10" s="1"/>
  <c r="S6" i="10"/>
  <c r="R6" i="10"/>
  <c r="R39" i="10" s="1"/>
  <c r="FB5" i="10"/>
  <c r="FA5" i="10"/>
  <c r="DM5" i="10"/>
  <c r="CW5" i="10"/>
  <c r="CV5" i="10"/>
  <c r="CU5" i="10"/>
  <c r="CT5" i="10"/>
  <c r="AL5" i="10"/>
  <c r="CX14" i="10" s="1"/>
  <c r="AH5" i="10"/>
  <c r="D42" i="10" s="1"/>
  <c r="HO49" i="10" s="1"/>
  <c r="HU49" i="10" s="1"/>
  <c r="AA5" i="10"/>
  <c r="DB6" i="10" s="1"/>
  <c r="X5" i="10"/>
  <c r="CY6" i="10" s="1"/>
  <c r="CY30" i="10" s="1"/>
  <c r="CY50" i="10" s="1"/>
  <c r="W5" i="10"/>
  <c r="CX6" i="10" s="1"/>
  <c r="S5" i="10"/>
  <c r="R5" i="10"/>
  <c r="R42" i="10" s="1"/>
  <c r="FB4" i="10"/>
  <c r="FA4" i="10"/>
  <c r="DM4" i="10"/>
  <c r="CW4" i="10"/>
  <c r="CV4" i="10"/>
  <c r="CU4" i="10"/>
  <c r="CT4" i="10"/>
  <c r="AP4" i="10"/>
  <c r="DB13" i="10" s="1"/>
  <c r="AO4" i="10"/>
  <c r="DA13" i="10" s="1"/>
  <c r="DA37" i="10" s="1"/>
  <c r="AL4" i="10"/>
  <c r="CX13" i="10" s="1"/>
  <c r="AH4" i="10"/>
  <c r="AG4" i="10"/>
  <c r="C36" i="10" s="1"/>
  <c r="X4" i="10"/>
  <c r="CY5" i="10" s="1"/>
  <c r="CY29" i="10" s="1"/>
  <c r="CY49" i="10" s="1"/>
  <c r="S4" i="10"/>
  <c r="R4" i="10"/>
  <c r="C39" i="10" s="1"/>
  <c r="HH3" i="10"/>
  <c r="GX3" i="10"/>
  <c r="FB3" i="10"/>
  <c r="FA3" i="10"/>
  <c r="DM3" i="10"/>
  <c r="CW3" i="10"/>
  <c r="CV3" i="10"/>
  <c r="CU3" i="10"/>
  <c r="CT3" i="10"/>
  <c r="AO3" i="10"/>
  <c r="DA12" i="10" s="1"/>
  <c r="DA36" i="10" s="1"/>
  <c r="AM3" i="10"/>
  <c r="CY12" i="10" s="1"/>
  <c r="CY36" i="10" s="1"/>
  <c r="CY56" i="10" s="1"/>
  <c r="AL3" i="10"/>
  <c r="AH3" i="10"/>
  <c r="AG3" i="10"/>
  <c r="R38" i="10" s="1"/>
  <c r="Y3" i="10"/>
  <c r="CZ4" i="10" s="1"/>
  <c r="CZ28" i="10" s="1"/>
  <c r="CZ48" i="10" s="1"/>
  <c r="X3" i="10"/>
  <c r="CY4" i="10" s="1"/>
  <c r="CY28" i="10" s="1"/>
  <c r="CY48" i="10" s="1"/>
  <c r="W3" i="10"/>
  <c r="CX4" i="10" s="1"/>
  <c r="S3" i="10"/>
  <c r="R3" i="10"/>
  <c r="C34" i="10" s="1"/>
  <c r="GI2" i="10"/>
  <c r="GH2" i="10"/>
  <c r="GG2" i="10"/>
  <c r="FZ2" i="10"/>
  <c r="FY2" i="10"/>
  <c r="EX2" i="10"/>
  <c r="EW2" i="10"/>
  <c r="EV2" i="10"/>
  <c r="EO2" i="10"/>
  <c r="EL2" i="10"/>
  <c r="EG2" i="10"/>
  <c r="EF2" i="10"/>
  <c r="EE2" i="10"/>
  <c r="DX2" i="10"/>
  <c r="DU2" i="10"/>
  <c r="AN2" i="10"/>
  <c r="CZ11" i="10" s="1"/>
  <c r="CZ35" i="10" s="1"/>
  <c r="CZ55" i="10" s="1"/>
  <c r="AH2" i="10"/>
  <c r="AG2" i="10"/>
  <c r="R40" i="10" s="1"/>
  <c r="W2" i="10"/>
  <c r="CX3" i="10" s="1"/>
  <c r="S2" i="10"/>
  <c r="R2" i="10"/>
  <c r="C29" i="10" s="1"/>
  <c r="Q41" i="62"/>
  <c r="P41" i="62"/>
  <c r="O41" i="62"/>
  <c r="K41" i="62"/>
  <c r="J41" i="62"/>
  <c r="I41" i="62"/>
  <c r="H41" i="62"/>
  <c r="Q40" i="62"/>
  <c r="P40" i="62"/>
  <c r="O40" i="62"/>
  <c r="K40" i="62"/>
  <c r="J40" i="62"/>
  <c r="I40" i="62"/>
  <c r="H40" i="62"/>
  <c r="Q39" i="62"/>
  <c r="P39" i="62"/>
  <c r="O39" i="62"/>
  <c r="K39" i="62"/>
  <c r="J39" i="62"/>
  <c r="I39" i="62"/>
  <c r="H39" i="62"/>
  <c r="Q38" i="62"/>
  <c r="P38" i="62"/>
  <c r="O38" i="62"/>
  <c r="K38" i="62"/>
  <c r="J38" i="62"/>
  <c r="I38" i="62"/>
  <c r="H38" i="62"/>
  <c r="Q37" i="62"/>
  <c r="P37" i="62"/>
  <c r="O37" i="62"/>
  <c r="K37" i="62"/>
  <c r="J37" i="62"/>
  <c r="I37" i="62"/>
  <c r="H37" i="62"/>
  <c r="Q36" i="62"/>
  <c r="P36" i="62"/>
  <c r="O36" i="62"/>
  <c r="K36" i="62"/>
  <c r="J36" i="62"/>
  <c r="I36" i="62"/>
  <c r="H36" i="62"/>
  <c r="Q35" i="62"/>
  <c r="P35" i="62"/>
  <c r="O35" i="62"/>
  <c r="H35" i="62"/>
  <c r="P18" i="68" s="1"/>
  <c r="Q34" i="62"/>
  <c r="P34" i="62"/>
  <c r="O34" i="62"/>
  <c r="K34" i="62"/>
  <c r="J34" i="62"/>
  <c r="I34" i="62"/>
  <c r="H34" i="62"/>
  <c r="Q33" i="62"/>
  <c r="P33" i="62"/>
  <c r="O33" i="62"/>
  <c r="K33" i="62"/>
  <c r="J33" i="62"/>
  <c r="I33" i="62"/>
  <c r="H33" i="62"/>
  <c r="Q32" i="62"/>
  <c r="P32" i="62"/>
  <c r="O32" i="62"/>
  <c r="K32" i="62"/>
  <c r="J32" i="62"/>
  <c r="I32" i="62"/>
  <c r="H32" i="62"/>
  <c r="Q31" i="62"/>
  <c r="P31" i="62"/>
  <c r="O31" i="62"/>
  <c r="K31" i="62"/>
  <c r="J31" i="62"/>
  <c r="I31" i="62"/>
  <c r="H31" i="62"/>
  <c r="Q30" i="62"/>
  <c r="P30" i="62"/>
  <c r="O30" i="62"/>
  <c r="K30" i="62"/>
  <c r="J30" i="62"/>
  <c r="I30" i="62"/>
  <c r="H30" i="62"/>
  <c r="Q29" i="62"/>
  <c r="P29" i="62"/>
  <c r="O29" i="62"/>
  <c r="K29" i="62"/>
  <c r="J29" i="62"/>
  <c r="I29" i="62"/>
  <c r="H29" i="62"/>
  <c r="Q28" i="62"/>
  <c r="P28" i="62"/>
  <c r="O28" i="62"/>
  <c r="K28" i="62"/>
  <c r="J28" i="62"/>
  <c r="I28" i="62"/>
  <c r="H28" i="62"/>
  <c r="Q27" i="62"/>
  <c r="P27" i="62"/>
  <c r="O27" i="62"/>
  <c r="K27" i="62"/>
  <c r="J27" i="62"/>
  <c r="I27" i="62"/>
  <c r="H27" i="62"/>
  <c r="Q26" i="62"/>
  <c r="P26" i="62"/>
  <c r="O26" i="62"/>
  <c r="K26" i="62"/>
  <c r="J26" i="62"/>
  <c r="I26" i="62"/>
  <c r="H26" i="62"/>
  <c r="Q25" i="62"/>
  <c r="P25" i="62"/>
  <c r="O25" i="62"/>
  <c r="K25" i="62"/>
  <c r="J25" i="62"/>
  <c r="I25" i="62"/>
  <c r="H25" i="62"/>
  <c r="Q24" i="62"/>
  <c r="P24" i="62"/>
  <c r="O24" i="62"/>
  <c r="K24" i="62"/>
  <c r="J24" i="62"/>
  <c r="I24" i="62"/>
  <c r="H24" i="62"/>
  <c r="K20" i="62"/>
  <c r="J20" i="62"/>
  <c r="I20" i="62"/>
  <c r="K19" i="62"/>
  <c r="J19" i="62"/>
  <c r="I19" i="62"/>
  <c r="K18" i="62"/>
  <c r="J18" i="62"/>
  <c r="I18" i="62"/>
  <c r="K17" i="62"/>
  <c r="J17" i="62"/>
  <c r="I17" i="62"/>
  <c r="K16" i="62"/>
  <c r="J16" i="62"/>
  <c r="I16" i="62"/>
  <c r="K15" i="62"/>
  <c r="J15" i="62"/>
  <c r="I15" i="62"/>
  <c r="K14" i="62"/>
  <c r="J14" i="62"/>
  <c r="I14" i="62"/>
  <c r="O18" i="19" s="1"/>
  <c r="K13" i="62"/>
  <c r="J13" i="62"/>
  <c r="I13" i="62"/>
  <c r="K12" i="62"/>
  <c r="J12" i="62"/>
  <c r="I12" i="62"/>
  <c r="K11" i="62"/>
  <c r="J11" i="62"/>
  <c r="I11" i="62"/>
  <c r="K10" i="62"/>
  <c r="J10" i="62"/>
  <c r="I10" i="62"/>
  <c r="K9" i="62"/>
  <c r="J9" i="62"/>
  <c r="I9" i="62"/>
  <c r="K8" i="62"/>
  <c r="J8" i="62"/>
  <c r="I8" i="62"/>
  <c r="K7" i="62"/>
  <c r="J7" i="62"/>
  <c r="I7" i="62"/>
  <c r="K6" i="62"/>
  <c r="J6" i="62"/>
  <c r="I6" i="62"/>
  <c r="K5" i="62"/>
  <c r="J5" i="62"/>
  <c r="I5" i="62"/>
  <c r="V4" i="62"/>
  <c r="X4" i="62" s="1"/>
  <c r="K4" i="62"/>
  <c r="J4" i="62"/>
  <c r="I4" i="62"/>
  <c r="K3" i="62"/>
  <c r="J3" i="62"/>
  <c r="I3" i="62"/>
  <c r="BI40" i="10" l="1"/>
  <c r="BI41" i="10"/>
  <c r="BV40" i="10"/>
  <c r="IN49" i="10"/>
  <c r="IN48" i="10"/>
  <c r="IN47" i="10"/>
  <c r="IN50" i="10"/>
  <c r="BI43" i="10"/>
  <c r="BY43" i="10"/>
  <c r="IM49" i="10"/>
  <c r="BW41" i="10"/>
  <c r="BI42" i="10"/>
  <c r="BV36" i="10"/>
  <c r="BW37" i="10"/>
  <c r="IM42" i="10"/>
  <c r="BN49" i="10"/>
  <c r="BS49" i="10" s="1"/>
  <c r="BU49" i="10" s="1"/>
  <c r="IN45" i="10"/>
  <c r="GO33" i="10"/>
  <c r="IN42" i="10"/>
  <c r="IN44" i="10"/>
  <c r="IN43" i="10"/>
  <c r="IQ43" i="10" s="1"/>
  <c r="D39" i="52" s="1"/>
  <c r="GL35" i="10"/>
  <c r="BJ17" i="10"/>
  <c r="GN32" i="10"/>
  <c r="GL34" i="10"/>
  <c r="GM35" i="10"/>
  <c r="BY39" i="10"/>
  <c r="BN51" i="10"/>
  <c r="BS51" i="10" s="1"/>
  <c r="BU51" i="10" s="1"/>
  <c r="BV49" i="10" s="1"/>
  <c r="GO32" i="10"/>
  <c r="GN33" i="10"/>
  <c r="GM34" i="10"/>
  <c r="GN35" i="10"/>
  <c r="BX38" i="10"/>
  <c r="IQ42" i="10"/>
  <c r="C39" i="52" s="1"/>
  <c r="GO28" i="10"/>
  <c r="GL30" i="10"/>
  <c r="GO27" i="10"/>
  <c r="GM30" i="10"/>
  <c r="IM38" i="10"/>
  <c r="IN40" i="10" s="1"/>
  <c r="GM27" i="10"/>
  <c r="GL28" i="10"/>
  <c r="GM29" i="10"/>
  <c r="GN30" i="10"/>
  <c r="IM39" i="10"/>
  <c r="BN50" i="10"/>
  <c r="BS50" i="10" s="1"/>
  <c r="BU50" i="10" s="1"/>
  <c r="GL29" i="10"/>
  <c r="GN27" i="10"/>
  <c r="GN28" i="10"/>
  <c r="GO29" i="10"/>
  <c r="BY35" i="10"/>
  <c r="IN38" i="10"/>
  <c r="BV32" i="10"/>
  <c r="BN48" i="10"/>
  <c r="BS48" i="10" s="1"/>
  <c r="BU48" i="10" s="1"/>
  <c r="LE10" i="66"/>
  <c r="BS5" i="51"/>
  <c r="JU10" i="66"/>
  <c r="AG26" i="10"/>
  <c r="DW2" i="10"/>
  <c r="EN2" i="10"/>
  <c r="AG5" i="10"/>
  <c r="EH38" i="10" s="1"/>
  <c r="FS8" i="10"/>
  <c r="EL26" i="10"/>
  <c r="BJ3" i="51"/>
  <c r="AW5" i="54" s="1"/>
  <c r="BK6" i="51"/>
  <c r="BJ7" i="51"/>
  <c r="BK7" i="51" s="1"/>
  <c r="KG10" i="66"/>
  <c r="BH26" i="66"/>
  <c r="FD29" i="66"/>
  <c r="FE47" i="66" s="1"/>
  <c r="FE29" i="66" s="1"/>
  <c r="FM29" i="66" s="1"/>
  <c r="HP31" i="66"/>
  <c r="II50" i="66"/>
  <c r="IO50" i="66" s="1"/>
  <c r="AG43" i="66"/>
  <c r="IE51" i="66"/>
  <c r="IG51" i="66" s="1"/>
  <c r="G30" i="67" s="1"/>
  <c r="HZ51" i="66"/>
  <c r="EA2" i="10"/>
  <c r="ER2" i="10"/>
  <c r="DV2" i="10"/>
  <c r="EB2" i="10"/>
  <c r="ES2" i="10"/>
  <c r="GD2" i="10"/>
  <c r="AG19" i="10"/>
  <c r="BJ8" i="51"/>
  <c r="BK8" i="51" s="1"/>
  <c r="KS10" i="66"/>
  <c r="AP5" i="66" s="1"/>
  <c r="DB14" i="66" s="1"/>
  <c r="HZ16" i="66"/>
  <c r="HP21" i="66"/>
  <c r="FF30" i="66"/>
  <c r="FQ30" i="66" s="1"/>
  <c r="AG34" i="66"/>
  <c r="GK29" i="66" s="1"/>
  <c r="GP29" i="66" s="1"/>
  <c r="GP34" i="66"/>
  <c r="Y5" i="66"/>
  <c r="CZ6" i="66" s="1"/>
  <c r="CZ30" i="66" s="1"/>
  <c r="CZ50" i="66" s="1"/>
  <c r="X5" i="66"/>
  <c r="CY6" i="66" s="1"/>
  <c r="CY30" i="66" s="1"/>
  <c r="CY50" i="66" s="1"/>
  <c r="W5" i="66"/>
  <c r="CX6" i="66" s="1"/>
  <c r="AA5" i="66"/>
  <c r="DB6" i="66" s="1"/>
  <c r="Z5" i="66"/>
  <c r="DA6" i="66" s="1"/>
  <c r="DA30" i="66" s="1"/>
  <c r="GN26" i="66"/>
  <c r="W9" i="66"/>
  <c r="Y9" i="66"/>
  <c r="CZ10" i="66" s="1"/>
  <c r="CZ34" i="66" s="1"/>
  <c r="CZ54" i="66" s="1"/>
  <c r="AA9" i="66"/>
  <c r="DB10" i="66" s="1"/>
  <c r="AM5" i="66"/>
  <c r="CY14" i="66" s="1"/>
  <c r="CY38" i="66" s="1"/>
  <c r="CY58" i="66" s="1"/>
  <c r="AL5" i="66"/>
  <c r="AN5" i="66"/>
  <c r="CZ14" i="66" s="1"/>
  <c r="CZ38" i="66" s="1"/>
  <c r="CZ58" i="66" s="1"/>
  <c r="AO5" i="66"/>
  <c r="DA14" i="66" s="1"/>
  <c r="DA38" i="66" s="1"/>
  <c r="AO9" i="66"/>
  <c r="DA18" i="66" s="1"/>
  <c r="DA42" i="66" s="1"/>
  <c r="AM9" i="66"/>
  <c r="CY18" i="66" s="1"/>
  <c r="CY42" i="66" s="1"/>
  <c r="CY62" i="66" s="1"/>
  <c r="GF2" i="10"/>
  <c r="JO10" i="66"/>
  <c r="KM10" i="66"/>
  <c r="I35" i="62"/>
  <c r="O18" i="68" s="1"/>
  <c r="EU2" i="10"/>
  <c r="FV2" i="10"/>
  <c r="GB2" i="10"/>
  <c r="FS11" i="10"/>
  <c r="GB14" i="10" s="1"/>
  <c r="FS13" i="10"/>
  <c r="R15" i="10"/>
  <c r="AH21" i="10"/>
  <c r="II23" i="10" s="1"/>
  <c r="IO23" i="10" s="1"/>
  <c r="DU26" i="10"/>
  <c r="EN26" i="10"/>
  <c r="HU26" i="10"/>
  <c r="HW26" i="10" s="1"/>
  <c r="G14" i="52" s="1"/>
  <c r="BK3" i="51"/>
  <c r="BS4" i="51"/>
  <c r="JX10" i="66"/>
  <c r="KV10" i="66"/>
  <c r="HU26" i="66"/>
  <c r="HW26" i="66" s="1"/>
  <c r="G14" i="67" s="1"/>
  <c r="IE31" i="66"/>
  <c r="IG31" i="66" s="1"/>
  <c r="G25" i="67" s="1"/>
  <c r="AG41" i="66"/>
  <c r="HP46" i="66"/>
  <c r="FK29" i="66"/>
  <c r="K35" i="62"/>
  <c r="DT2" i="10"/>
  <c r="ED2" i="10"/>
  <c r="EK2" i="10"/>
  <c r="EQ2" i="10"/>
  <c r="FW2" i="10"/>
  <c r="GC2" i="10"/>
  <c r="FS4" i="10"/>
  <c r="GC4" i="10" s="1"/>
  <c r="FS9" i="10"/>
  <c r="FZ12" i="10" s="1"/>
  <c r="EH12" i="10"/>
  <c r="FS18" i="10"/>
  <c r="C20" i="10"/>
  <c r="R25" i="10"/>
  <c r="DW26" i="10"/>
  <c r="EX26" i="10"/>
  <c r="BJ15" i="51"/>
  <c r="Z6" i="51" s="1"/>
  <c r="JR10" i="66"/>
  <c r="KA10" i="66"/>
  <c r="KP10" i="66"/>
  <c r="KY10" i="66"/>
  <c r="BH16" i="66"/>
  <c r="BH25" i="66"/>
  <c r="FD27" i="66"/>
  <c r="FE45" i="66" s="1"/>
  <c r="FE27" i="66" s="1"/>
  <c r="FD28" i="66"/>
  <c r="FF29" i="66"/>
  <c r="FD30" i="66"/>
  <c r="FE48" i="66" s="1"/>
  <c r="FE30" i="66" s="1"/>
  <c r="FL30" i="66" s="1"/>
  <c r="FP30" i="66"/>
  <c r="FS30" i="66" s="1"/>
  <c r="HZ36" i="66"/>
  <c r="DZ2" i="10"/>
  <c r="FS6" i="10"/>
  <c r="R12" i="10"/>
  <c r="EH16" i="10"/>
  <c r="D23" i="10"/>
  <c r="HO25" i="10" s="1"/>
  <c r="HU25" i="10" s="1"/>
  <c r="R23" i="10"/>
  <c r="C26" i="10"/>
  <c r="EG26" i="10"/>
  <c r="Z4" i="51"/>
  <c r="BK5" i="51"/>
  <c r="BS6" i="51"/>
  <c r="JL10" i="66"/>
  <c r="KJ10" i="66"/>
  <c r="IO16" i="66"/>
  <c r="IQ16" i="66" s="1"/>
  <c r="G32" i="67" s="1"/>
  <c r="IJ21" i="66"/>
  <c r="FF27" i="66"/>
  <c r="FQ28" i="66"/>
  <c r="GN31" i="66"/>
  <c r="FF35" i="66"/>
  <c r="HU36" i="66"/>
  <c r="HW36" i="66" s="1"/>
  <c r="G17" i="67" s="1"/>
  <c r="HP51" i="66"/>
  <c r="HU51" i="66"/>
  <c r="HW51" i="66" s="1"/>
  <c r="G20" i="67" s="1"/>
  <c r="GQ6" i="66"/>
  <c r="GR6" i="66" s="1"/>
  <c r="AB9" i="66"/>
  <c r="CA19" i="66" s="1"/>
  <c r="CX10" i="66"/>
  <c r="EH10" i="10"/>
  <c r="EH17" i="10"/>
  <c r="J35" i="62"/>
  <c r="DY2" i="10"/>
  <c r="EC2" i="10"/>
  <c r="EP2" i="10"/>
  <c r="ET2" i="10"/>
  <c r="GA2" i="10"/>
  <c r="GE2" i="10"/>
  <c r="EH3" i="10"/>
  <c r="FZ3" i="10"/>
  <c r="EH4" i="10"/>
  <c r="FX4" i="10"/>
  <c r="FS5" i="10"/>
  <c r="EH9" i="10"/>
  <c r="FT9" i="10"/>
  <c r="EH11" i="10"/>
  <c r="AG12" i="10"/>
  <c r="FZ13" i="10"/>
  <c r="CW14" i="10"/>
  <c r="AG15" i="10"/>
  <c r="EH15" i="10"/>
  <c r="FZ15" i="10"/>
  <c r="C16" i="10"/>
  <c r="FZ7" i="10"/>
  <c r="FS16" i="10"/>
  <c r="R17" i="10"/>
  <c r="C18" i="10"/>
  <c r="EH18" i="10"/>
  <c r="FW18" i="10"/>
  <c r="R19" i="10"/>
  <c r="R20" i="10"/>
  <c r="C21" i="10"/>
  <c r="HZ21" i="10"/>
  <c r="AG23" i="10"/>
  <c r="R24" i="10"/>
  <c r="C25" i="10"/>
  <c r="DR26" i="10"/>
  <c r="DV26" i="10"/>
  <c r="DZ26" i="10"/>
  <c r="ED26" i="10"/>
  <c r="EI26" i="10"/>
  <c r="EM26" i="10"/>
  <c r="EQ26" i="10"/>
  <c r="EU26" i="10"/>
  <c r="C27" i="10"/>
  <c r="C28" i="10"/>
  <c r="R29" i="10"/>
  <c r="EH29" i="10"/>
  <c r="R31" i="10"/>
  <c r="EH31" i="10"/>
  <c r="C33" i="10"/>
  <c r="R34" i="10"/>
  <c r="EH34" i="10"/>
  <c r="R35" i="10"/>
  <c r="EH35" i="10"/>
  <c r="HZ36" i="10"/>
  <c r="C37" i="10"/>
  <c r="R41" i="10"/>
  <c r="C43" i="10"/>
  <c r="HP51" i="10"/>
  <c r="CB3" i="51"/>
  <c r="AN3" i="51" s="1"/>
  <c r="BO4" i="51"/>
  <c r="CF4" i="51"/>
  <c r="AR4" i="51" s="1"/>
  <c r="CB5" i="51"/>
  <c r="AN5" i="51" s="1"/>
  <c r="BO6" i="51"/>
  <c r="CF6" i="51"/>
  <c r="AR6" i="51" s="1"/>
  <c r="CB7" i="51"/>
  <c r="AN7" i="51" s="1"/>
  <c r="CF8" i="51"/>
  <c r="AR8" i="51" s="1"/>
  <c r="CB9" i="51"/>
  <c r="AN9" i="51" s="1"/>
  <c r="CF10" i="51"/>
  <c r="AR10" i="51" s="1"/>
  <c r="CB11" i="51"/>
  <c r="AN11" i="51" s="1"/>
  <c r="CF12" i="51"/>
  <c r="AR12" i="51" s="1"/>
  <c r="CB13" i="51"/>
  <c r="AN13" i="51" s="1"/>
  <c r="CF14" i="51"/>
  <c r="AR14" i="51" s="1"/>
  <c r="CB15" i="51"/>
  <c r="AN15" i="51" s="1"/>
  <c r="CF16" i="51"/>
  <c r="AR16" i="51" s="1"/>
  <c r="CB17" i="51"/>
  <c r="AN17" i="51" s="1"/>
  <c r="CF18" i="51"/>
  <c r="AR18" i="51" s="1"/>
  <c r="CB19" i="51"/>
  <c r="AN19" i="51" s="1"/>
  <c r="CF20" i="51"/>
  <c r="AR20" i="51" s="1"/>
  <c r="CB21" i="51"/>
  <c r="AN21" i="51" s="1"/>
  <c r="CF22" i="51"/>
  <c r="AR22" i="51" s="1"/>
  <c r="CB23" i="51"/>
  <c r="AN23" i="51" s="1"/>
  <c r="CF24" i="51"/>
  <c r="AR24" i="51" s="1"/>
  <c r="CB25" i="51"/>
  <c r="AN25" i="51" s="1"/>
  <c r="CF26" i="51"/>
  <c r="AR26" i="51" s="1"/>
  <c r="CB27" i="51"/>
  <c r="AN27" i="51" s="1"/>
  <c r="CF28" i="51"/>
  <c r="AR28" i="51" s="1"/>
  <c r="CB29" i="51"/>
  <c r="AN29" i="51" s="1"/>
  <c r="CF30" i="51"/>
  <c r="AR30" i="51" s="1"/>
  <c r="CB31" i="51"/>
  <c r="AN31" i="51" s="1"/>
  <c r="CF32" i="51"/>
  <c r="AR32" i="51" s="1"/>
  <c r="CB33" i="51"/>
  <c r="AN33" i="51" s="1"/>
  <c r="CF34" i="51"/>
  <c r="AR34" i="51" s="1"/>
  <c r="CB35" i="51"/>
  <c r="AN35" i="51" s="1"/>
  <c r="CF36" i="51"/>
  <c r="AR36" i="51" s="1"/>
  <c r="CB37" i="51"/>
  <c r="AN37" i="51" s="1"/>
  <c r="CF38" i="51"/>
  <c r="AR38" i="51" s="1"/>
  <c r="CB39" i="51"/>
  <c r="AN39" i="51" s="1"/>
  <c r="CF40" i="51"/>
  <c r="AR40" i="51" s="1"/>
  <c r="CB41" i="51"/>
  <c r="AN41" i="51" s="1"/>
  <c r="CF42" i="51"/>
  <c r="AR42" i="51" s="1"/>
  <c r="AH5" i="66"/>
  <c r="DC6" i="66"/>
  <c r="Z7" i="66"/>
  <c r="DA8" i="66" s="1"/>
  <c r="DA32" i="66" s="1"/>
  <c r="X7" i="66"/>
  <c r="CY8" i="66" s="1"/>
  <c r="CY32" i="66" s="1"/>
  <c r="CY52" i="66" s="1"/>
  <c r="AP4" i="66"/>
  <c r="DB13" i="66" s="1"/>
  <c r="AL4" i="66"/>
  <c r="AN7" i="66"/>
  <c r="CZ16" i="66" s="1"/>
  <c r="CZ40" i="66" s="1"/>
  <c r="CZ60" i="66" s="1"/>
  <c r="AP7" i="66"/>
  <c r="DB16" i="66" s="1"/>
  <c r="AL7" i="66"/>
  <c r="DR2" i="10"/>
  <c r="EI2" i="10"/>
  <c r="FT2" i="10"/>
  <c r="FX2" i="10"/>
  <c r="FY4" i="10"/>
  <c r="EH5" i="10"/>
  <c r="FV6" i="10"/>
  <c r="FS14" i="10"/>
  <c r="GE12" i="10" s="1"/>
  <c r="R16" i="10"/>
  <c r="AG17" i="10"/>
  <c r="R18" i="10"/>
  <c r="FX18" i="10"/>
  <c r="AG20" i="10"/>
  <c r="R21" i="10"/>
  <c r="C22" i="10"/>
  <c r="AG24" i="10"/>
  <c r="DS26" i="10"/>
  <c r="EA26" i="10"/>
  <c r="EE26" i="10"/>
  <c r="EJ26" i="10"/>
  <c r="ER26" i="10"/>
  <c r="EV26" i="10"/>
  <c r="R27" i="10"/>
  <c r="R28" i="10"/>
  <c r="EH28" i="10"/>
  <c r="S29" i="10"/>
  <c r="HY33" i="10" s="1"/>
  <c r="IE33" i="10" s="1"/>
  <c r="C30" i="10"/>
  <c r="R33" i="10"/>
  <c r="EH33" i="10"/>
  <c r="R37" i="10"/>
  <c r="EH37" i="10"/>
  <c r="EH40" i="10"/>
  <c r="EH42" i="10"/>
  <c r="R43" i="10"/>
  <c r="CD3" i="51"/>
  <c r="AP3" i="51" s="1"/>
  <c r="CD5" i="51"/>
  <c r="AP5" i="51" s="1"/>
  <c r="CD7" i="51"/>
  <c r="AP7" i="51" s="1"/>
  <c r="CD9" i="51"/>
  <c r="AP9" i="51" s="1"/>
  <c r="Z10" i="51"/>
  <c r="CD11" i="51"/>
  <c r="AP11" i="51" s="1"/>
  <c r="Z12" i="51"/>
  <c r="CD13" i="51"/>
  <c r="AP13" i="51" s="1"/>
  <c r="Z14" i="51"/>
  <c r="CD15" i="51"/>
  <c r="AP15" i="51" s="1"/>
  <c r="Z16" i="51"/>
  <c r="CD17" i="51"/>
  <c r="AP17" i="51" s="1"/>
  <c r="Z18" i="51"/>
  <c r="CD19" i="51"/>
  <c r="AP19" i="51" s="1"/>
  <c r="Z20" i="51"/>
  <c r="CD21" i="51"/>
  <c r="AP21" i="51" s="1"/>
  <c r="Z22" i="51"/>
  <c r="CD23" i="51"/>
  <c r="AP23" i="51" s="1"/>
  <c r="Z24" i="51"/>
  <c r="CD25" i="51"/>
  <c r="AP25" i="51" s="1"/>
  <c r="Z26" i="51"/>
  <c r="CD27" i="51"/>
  <c r="AP27" i="51" s="1"/>
  <c r="Z28" i="51"/>
  <c r="CD29" i="51"/>
  <c r="AP29" i="51" s="1"/>
  <c r="Z30" i="51"/>
  <c r="CD31" i="51"/>
  <c r="AP31" i="51" s="1"/>
  <c r="Z32" i="51"/>
  <c r="CD33" i="51"/>
  <c r="AP33" i="51" s="1"/>
  <c r="Z34" i="51"/>
  <c r="CD35" i="51"/>
  <c r="AP35" i="51" s="1"/>
  <c r="Z36" i="51"/>
  <c r="CD37" i="51"/>
  <c r="AP37" i="51" s="1"/>
  <c r="Z38" i="51"/>
  <c r="CD39" i="51"/>
  <c r="AP39" i="51" s="1"/>
  <c r="Z40" i="51"/>
  <c r="CD41" i="51"/>
  <c r="AP41" i="51" s="1"/>
  <c r="Z42" i="51"/>
  <c r="CX30" i="66"/>
  <c r="DJ6" i="66"/>
  <c r="DK6" i="66" s="1"/>
  <c r="DF6" i="66"/>
  <c r="DG6" i="66" s="1"/>
  <c r="DH6" i="66"/>
  <c r="DI6" i="66" s="1"/>
  <c r="DD6" i="66"/>
  <c r="DE6" i="66" s="1"/>
  <c r="AB5" i="66"/>
  <c r="CA15" i="66" s="1"/>
  <c r="CX14" i="66"/>
  <c r="AQ5" i="66"/>
  <c r="CA23" i="66" s="1"/>
  <c r="G7" i="68"/>
  <c r="I7" i="68"/>
  <c r="G9" i="68"/>
  <c r="I9" i="68"/>
  <c r="EM2" i="10"/>
  <c r="GF9" i="10"/>
  <c r="C13" i="10"/>
  <c r="C14" i="10"/>
  <c r="DS2" i="10"/>
  <c r="EJ2" i="10"/>
  <c r="FU2" i="10"/>
  <c r="EH6" i="10"/>
  <c r="GD6" i="10"/>
  <c r="FS7" i="10"/>
  <c r="FW7" i="10" s="1"/>
  <c r="EH8" i="10"/>
  <c r="FS10" i="10"/>
  <c r="GA12" i="10" s="1"/>
  <c r="C12" i="10"/>
  <c r="FW3" i="10"/>
  <c r="FS12" i="10"/>
  <c r="R13" i="10"/>
  <c r="EH13" i="10"/>
  <c r="R14" i="10"/>
  <c r="EH14" i="10"/>
  <c r="FZ14" i="10"/>
  <c r="C15" i="10"/>
  <c r="S16" i="10"/>
  <c r="HY17" i="10" s="1"/>
  <c r="IE17" i="10" s="1"/>
  <c r="AG16" i="10"/>
  <c r="FS17" i="10"/>
  <c r="GE17" i="10" s="1"/>
  <c r="AG18" i="10"/>
  <c r="AG21" i="10"/>
  <c r="R22" i="10"/>
  <c r="C23" i="10"/>
  <c r="AG25" i="10"/>
  <c r="R26" i="10"/>
  <c r="DT26" i="10"/>
  <c r="DX26" i="10"/>
  <c r="EB26" i="10"/>
  <c r="EF26" i="10"/>
  <c r="EK26" i="10"/>
  <c r="EO26" i="10"/>
  <c r="ES26" i="10"/>
  <c r="EW26" i="10"/>
  <c r="AG27" i="10"/>
  <c r="EH27" i="10"/>
  <c r="R30" i="10"/>
  <c r="EH30" i="10"/>
  <c r="C38" i="10"/>
  <c r="C40" i="10"/>
  <c r="EH41" i="10"/>
  <c r="C42" i="10"/>
  <c r="BO3" i="51"/>
  <c r="CF3" i="51"/>
  <c r="AR3" i="51" s="1"/>
  <c r="CB4" i="51"/>
  <c r="AN4" i="51" s="1"/>
  <c r="BO5" i="51"/>
  <c r="CF5" i="51"/>
  <c r="AR5" i="51" s="1"/>
  <c r="CB6" i="51"/>
  <c r="AN6" i="51" s="1"/>
  <c r="CF7" i="51"/>
  <c r="AR7" i="51" s="1"/>
  <c r="CB8" i="51"/>
  <c r="AN8" i="51" s="1"/>
  <c r="CF9" i="51"/>
  <c r="AR9" i="51" s="1"/>
  <c r="CB10" i="51"/>
  <c r="AN10" i="51" s="1"/>
  <c r="CF11" i="51"/>
  <c r="AR11" i="51" s="1"/>
  <c r="CB12" i="51"/>
  <c r="AN12" i="51" s="1"/>
  <c r="CF13" i="51"/>
  <c r="AR13" i="51" s="1"/>
  <c r="CB14" i="51"/>
  <c r="AN14" i="51" s="1"/>
  <c r="CF15" i="51"/>
  <c r="AR15" i="51" s="1"/>
  <c r="CB16" i="51"/>
  <c r="AN16" i="51" s="1"/>
  <c r="CF17" i="51"/>
  <c r="AR17" i="51" s="1"/>
  <c r="CB18" i="51"/>
  <c r="AN18" i="51" s="1"/>
  <c r="CF19" i="51"/>
  <c r="AR19" i="51" s="1"/>
  <c r="CB20" i="51"/>
  <c r="AN20" i="51" s="1"/>
  <c r="CF21" i="51"/>
  <c r="AR21" i="51" s="1"/>
  <c r="CB22" i="51"/>
  <c r="AN22" i="51" s="1"/>
  <c r="CF23" i="51"/>
  <c r="AR23" i="51" s="1"/>
  <c r="CB24" i="51"/>
  <c r="AN24" i="51" s="1"/>
  <c r="CF25" i="51"/>
  <c r="AR25" i="51" s="1"/>
  <c r="CB26" i="51"/>
  <c r="AN26" i="51" s="1"/>
  <c r="CF27" i="51"/>
  <c r="AR27" i="51" s="1"/>
  <c r="CB28" i="51"/>
  <c r="AN28" i="51" s="1"/>
  <c r="CF29" i="51"/>
  <c r="AR29" i="51" s="1"/>
  <c r="CB30" i="51"/>
  <c r="AN30" i="51" s="1"/>
  <c r="CF31" i="51"/>
  <c r="AR31" i="51" s="1"/>
  <c r="CB32" i="51"/>
  <c r="AN32" i="51" s="1"/>
  <c r="CF33" i="51"/>
  <c r="AR33" i="51" s="1"/>
  <c r="CB34" i="51"/>
  <c r="AN34" i="51" s="1"/>
  <c r="CF35" i="51"/>
  <c r="AR35" i="51" s="1"/>
  <c r="CB36" i="51"/>
  <c r="AN36" i="51" s="1"/>
  <c r="CF37" i="51"/>
  <c r="AR37" i="51" s="1"/>
  <c r="CB38" i="51"/>
  <c r="AN38" i="51" s="1"/>
  <c r="CF39" i="51"/>
  <c r="AR39" i="51" s="1"/>
  <c r="CB40" i="51"/>
  <c r="AN40" i="51" s="1"/>
  <c r="CF41" i="51"/>
  <c r="AR41" i="51" s="1"/>
  <c r="CB42" i="51"/>
  <c r="AN42" i="51" s="1"/>
  <c r="KD10" i="66"/>
  <c r="LB10" i="66"/>
  <c r="FS3" i="10"/>
  <c r="EH7" i="10"/>
  <c r="AG13" i="10"/>
  <c r="AG14" i="10"/>
  <c r="FS15" i="10"/>
  <c r="C19" i="10"/>
  <c r="AG22" i="10"/>
  <c r="DY26" i="10"/>
  <c r="EC26" i="10"/>
  <c r="EP26" i="10"/>
  <c r="ET26" i="10"/>
  <c r="C31" i="10"/>
  <c r="R32" i="10"/>
  <c r="EH32" i="10"/>
  <c r="GC18" i="10"/>
  <c r="EH36" i="10"/>
  <c r="CD4" i="51"/>
  <c r="AP4" i="51" s="1"/>
  <c r="CD6" i="51"/>
  <c r="AP6" i="51" s="1"/>
  <c r="CD8" i="51"/>
  <c r="AP8" i="51" s="1"/>
  <c r="CD10" i="51"/>
  <c r="AP10" i="51" s="1"/>
  <c r="Z11" i="51"/>
  <c r="CD12" i="51"/>
  <c r="AP12" i="51" s="1"/>
  <c r="Z13" i="51"/>
  <c r="CD14" i="51"/>
  <c r="AP14" i="51" s="1"/>
  <c r="Z15" i="51"/>
  <c r="CD16" i="51"/>
  <c r="AP16" i="51" s="1"/>
  <c r="Z17" i="51"/>
  <c r="CD18" i="51"/>
  <c r="AP18" i="51" s="1"/>
  <c r="Z19" i="51"/>
  <c r="CD20" i="51"/>
  <c r="AP20" i="51" s="1"/>
  <c r="Z21" i="51"/>
  <c r="CD22" i="51"/>
  <c r="AP22" i="51" s="1"/>
  <c r="Z23" i="51"/>
  <c r="CD24" i="51"/>
  <c r="AP24" i="51" s="1"/>
  <c r="Z25" i="51"/>
  <c r="CD26" i="51"/>
  <c r="AP26" i="51" s="1"/>
  <c r="Z27" i="51"/>
  <c r="CD28" i="51"/>
  <c r="AP28" i="51" s="1"/>
  <c r="Z29" i="51"/>
  <c r="CD30" i="51"/>
  <c r="AP30" i="51" s="1"/>
  <c r="Z31" i="51"/>
  <c r="CD32" i="51"/>
  <c r="AP32" i="51" s="1"/>
  <c r="Z33" i="51"/>
  <c r="CD34" i="51"/>
  <c r="AP34" i="51" s="1"/>
  <c r="Z35" i="51"/>
  <c r="CD36" i="51"/>
  <c r="AP36" i="51" s="1"/>
  <c r="Z37" i="51"/>
  <c r="CD38" i="51"/>
  <c r="AP38" i="51" s="1"/>
  <c r="Z39" i="51"/>
  <c r="CD40" i="51"/>
  <c r="AP40" i="51" s="1"/>
  <c r="Z41" i="51"/>
  <c r="CD42" i="51"/>
  <c r="AP42" i="51" s="1"/>
  <c r="X6" i="66"/>
  <c r="CY7" i="66" s="1"/>
  <c r="CY31" i="66" s="1"/>
  <c r="CY51" i="66" s="1"/>
  <c r="Z6" i="66"/>
  <c r="DA7" i="66" s="1"/>
  <c r="DA31" i="66" s="1"/>
  <c r="X9" i="66"/>
  <c r="CY10" i="66" s="1"/>
  <c r="CY34" i="66" s="1"/>
  <c r="CY54" i="66" s="1"/>
  <c r="Z9" i="66"/>
  <c r="DA10" i="66" s="1"/>
  <c r="DA34" i="66" s="1"/>
  <c r="AP6" i="66"/>
  <c r="DB15" i="66" s="1"/>
  <c r="AL6" i="66"/>
  <c r="AN6" i="66"/>
  <c r="CZ15" i="66" s="1"/>
  <c r="CZ39" i="66" s="1"/>
  <c r="CZ59" i="66" s="1"/>
  <c r="AP9" i="66"/>
  <c r="DB18" i="66" s="1"/>
  <c r="AL9" i="66"/>
  <c r="AN9" i="66"/>
  <c r="CZ18" i="66" s="1"/>
  <c r="CZ42" i="66" s="1"/>
  <c r="CZ62" i="66" s="1"/>
  <c r="F10" i="68"/>
  <c r="E10" i="68"/>
  <c r="HU16" i="66"/>
  <c r="HW16" i="66" s="1"/>
  <c r="G12" i="67" s="1"/>
  <c r="I18" i="68"/>
  <c r="G18" i="68"/>
  <c r="G21" i="68"/>
  <c r="I21" i="68"/>
  <c r="BH12" i="66"/>
  <c r="I8" i="68"/>
  <c r="G8" i="68"/>
  <c r="BH14" i="66"/>
  <c r="G13" i="68"/>
  <c r="I13" i="68"/>
  <c r="I22" i="68"/>
  <c r="G22" i="68"/>
  <c r="G23" i="68"/>
  <c r="I23" i="68"/>
  <c r="F8" i="68"/>
  <c r="E8" i="68"/>
  <c r="G11" i="68"/>
  <c r="I11" i="68"/>
  <c r="G19" i="68"/>
  <c r="I19" i="68"/>
  <c r="I20" i="68"/>
  <c r="G20" i="68"/>
  <c r="F7" i="68"/>
  <c r="E7" i="68"/>
  <c r="F9" i="68"/>
  <c r="E9" i="68"/>
  <c r="I10" i="68"/>
  <c r="G10" i="68"/>
  <c r="F12" i="68"/>
  <c r="E12" i="68"/>
  <c r="BD17" i="66"/>
  <c r="D12" i="68" s="1"/>
  <c r="I24" i="68"/>
  <c r="G24" i="68"/>
  <c r="F11" i="68"/>
  <c r="E11" i="68"/>
  <c r="F13" i="68"/>
  <c r="E13" i="68"/>
  <c r="F14" i="68"/>
  <c r="E14" i="68"/>
  <c r="F16" i="68"/>
  <c r="E16" i="68"/>
  <c r="FM27" i="66"/>
  <c r="FQ27" i="66"/>
  <c r="FP28" i="66"/>
  <c r="FS28" i="66" s="1"/>
  <c r="FL29" i="66"/>
  <c r="FP29" i="66"/>
  <c r="FN30" i="66"/>
  <c r="FK30" i="66"/>
  <c r="G15" i="68"/>
  <c r="I15" i="68"/>
  <c r="G17" i="68"/>
  <c r="I17" i="68"/>
  <c r="BH23" i="66"/>
  <c r="BH24" i="66"/>
  <c r="F22" i="68"/>
  <c r="E22" i="68"/>
  <c r="FN27" i="66"/>
  <c r="BH28" i="66"/>
  <c r="BH29" i="66"/>
  <c r="FP35" i="66"/>
  <c r="FQ35" i="66"/>
  <c r="BH18" i="66"/>
  <c r="BH19" i="66"/>
  <c r="F15" i="68"/>
  <c r="E15" i="68"/>
  <c r="BH21" i="66"/>
  <c r="HZ21" i="66"/>
  <c r="F17" i="68"/>
  <c r="E17" i="68"/>
  <c r="IJ26" i="66"/>
  <c r="FK27" i="66"/>
  <c r="FM30" i="66"/>
  <c r="I14" i="68"/>
  <c r="G14" i="68"/>
  <c r="I16" i="68"/>
  <c r="G16" i="68"/>
  <c r="F18" i="68"/>
  <c r="E18" i="68"/>
  <c r="F19" i="68"/>
  <c r="E19" i="68"/>
  <c r="F20" i="68"/>
  <c r="E20" i="68"/>
  <c r="F21" i="68"/>
  <c r="E21" i="68"/>
  <c r="BH27" i="66"/>
  <c r="FL27" i="66"/>
  <c r="FP27" i="66"/>
  <c r="FS27" i="66" s="1"/>
  <c r="F23" i="68"/>
  <c r="E23" i="68"/>
  <c r="F24" i="68"/>
  <c r="E24" i="68"/>
  <c r="FF31" i="66"/>
  <c r="AG32" i="66"/>
  <c r="FD32" i="66"/>
  <c r="FF34" i="66"/>
  <c r="AG35" i="66"/>
  <c r="GK30" i="66" s="1"/>
  <c r="II43" i="66"/>
  <c r="IO43" i="66" s="1"/>
  <c r="AG37" i="66"/>
  <c r="GK33" i="66" s="1"/>
  <c r="FD44" i="66"/>
  <c r="FD43" i="66"/>
  <c r="FD41" i="66"/>
  <c r="FD40" i="66"/>
  <c r="II37" i="66"/>
  <c r="IO37" i="66" s="1"/>
  <c r="FD37" i="66"/>
  <c r="FD42" i="66"/>
  <c r="FF39" i="66"/>
  <c r="FD35" i="66"/>
  <c r="FD39" i="66"/>
  <c r="FD33" i="66"/>
  <c r="FD36" i="66"/>
  <c r="FD31" i="66"/>
  <c r="FF32" i="66"/>
  <c r="AG33" i="66"/>
  <c r="GK28" i="66" s="1"/>
  <c r="FD34" i="66"/>
  <c r="II42" i="66"/>
  <c r="IO42" i="66" s="1"/>
  <c r="AG36" i="66"/>
  <c r="GK32" i="66" s="1"/>
  <c r="FF36" i="66"/>
  <c r="FF33" i="66"/>
  <c r="FF37" i="66"/>
  <c r="IE46" i="66"/>
  <c r="IG46" i="66" s="1"/>
  <c r="G29" i="67" s="1"/>
  <c r="HZ46" i="66"/>
  <c r="BV48" i="66"/>
  <c r="IE41" i="66"/>
  <c r="IG41" i="66" s="1"/>
  <c r="G28" i="67" s="1"/>
  <c r="BV51" i="66"/>
  <c r="BV50" i="66"/>
  <c r="II45" i="66"/>
  <c r="IO45" i="66" s="1"/>
  <c r="AG39" i="66"/>
  <c r="GK35" i="66" s="1"/>
  <c r="II49" i="66"/>
  <c r="IO49" i="66" s="1"/>
  <c r="AG42" i="66"/>
  <c r="FF40" i="66"/>
  <c r="FF42" i="66"/>
  <c r="BV49" i="66"/>
  <c r="II47" i="66"/>
  <c r="IO47" i="66" s="1"/>
  <c r="FF44" i="66"/>
  <c r="FF41" i="66"/>
  <c r="FF43" i="66"/>
  <c r="AA6" i="10"/>
  <c r="DB7" i="10" s="1"/>
  <c r="HM88" i="10"/>
  <c r="IM27" i="10"/>
  <c r="FX13" i="10"/>
  <c r="GZ88" i="10"/>
  <c r="HJ88" i="10"/>
  <c r="GZ90" i="10"/>
  <c r="IM29" i="10"/>
  <c r="HC90" i="10"/>
  <c r="GD16" i="10"/>
  <c r="BW25" i="10"/>
  <c r="HJ90" i="10"/>
  <c r="HA91" i="10"/>
  <c r="GG13" i="10"/>
  <c r="GG6" i="10"/>
  <c r="AP7" i="10"/>
  <c r="DB16" i="10" s="1"/>
  <c r="FW16" i="10"/>
  <c r="HM90" i="10"/>
  <c r="IM30" i="10"/>
  <c r="IN30" i="10" s="1"/>
  <c r="GZ89" i="10"/>
  <c r="HJ89" i="10"/>
  <c r="HC91" i="10"/>
  <c r="HM91" i="10"/>
  <c r="HA89" i="10"/>
  <c r="HK89" i="10"/>
  <c r="AA4" i="10"/>
  <c r="DB5" i="10" s="1"/>
  <c r="GE5" i="10"/>
  <c r="FV15" i="10"/>
  <c r="HA86" i="10"/>
  <c r="GE8" i="10"/>
  <c r="FV14" i="10"/>
  <c r="GE15" i="10"/>
  <c r="BW21" i="10"/>
  <c r="HM84" i="10"/>
  <c r="HM85" i="10"/>
  <c r="FY5" i="10"/>
  <c r="GF8" i="10"/>
  <c r="HK86" i="10"/>
  <c r="GF14" i="10"/>
  <c r="FY14" i="10"/>
  <c r="AP5" i="10"/>
  <c r="DB14" i="10" s="1"/>
  <c r="DJ14" i="10" s="1"/>
  <c r="DK14" i="10" s="1"/>
  <c r="FV8" i="10"/>
  <c r="FY15" i="10"/>
  <c r="BV20" i="10"/>
  <c r="BX22" i="10"/>
  <c r="BX8" i="10" s="1"/>
  <c r="HC84" i="10"/>
  <c r="HC85" i="10"/>
  <c r="HC87" i="10"/>
  <c r="IM25" i="10"/>
  <c r="IN25" i="10" s="1"/>
  <c r="HC86" i="10"/>
  <c r="HM86" i="10"/>
  <c r="GZ84" i="10"/>
  <c r="HJ84" i="10"/>
  <c r="GZ85" i="10"/>
  <c r="HJ85" i="10"/>
  <c r="HM87" i="10"/>
  <c r="BY23" i="10"/>
  <c r="IJ26" i="10"/>
  <c r="IO26" i="10" s="1"/>
  <c r="IQ26" i="10" s="1"/>
  <c r="G34" i="52" s="1"/>
  <c r="GZ87" i="10"/>
  <c r="HJ87" i="10"/>
  <c r="GZ80" i="10"/>
  <c r="HA80" i="10"/>
  <c r="AP9" i="10"/>
  <c r="DB18" i="10" s="1"/>
  <c r="GB4" i="10"/>
  <c r="GI9" i="10"/>
  <c r="BX18" i="10"/>
  <c r="FZ18" i="10"/>
  <c r="HJ80" i="10"/>
  <c r="HJ82" i="10"/>
  <c r="AA3" i="10"/>
  <c r="DB4" i="10" s="1"/>
  <c r="FU11" i="10"/>
  <c r="GZ82" i="10"/>
  <c r="HM82" i="10"/>
  <c r="HA81" i="10"/>
  <c r="GB9" i="10"/>
  <c r="GI11" i="10"/>
  <c r="BV16" i="10"/>
  <c r="HK81" i="10"/>
  <c r="HC82" i="10"/>
  <c r="IM17" i="10"/>
  <c r="IM20" i="10"/>
  <c r="HA83" i="10"/>
  <c r="HK83" i="10"/>
  <c r="FZ4" i="10"/>
  <c r="GI4" i="10"/>
  <c r="FZ11" i="10"/>
  <c r="BW17" i="10"/>
  <c r="FU18" i="10"/>
  <c r="GB18" i="10"/>
  <c r="GZ81" i="10"/>
  <c r="HJ81" i="10"/>
  <c r="HC83" i="10"/>
  <c r="HM83" i="10"/>
  <c r="FU9" i="10"/>
  <c r="AA2" i="10"/>
  <c r="DB3" i="10" s="1"/>
  <c r="GH10" i="10"/>
  <c r="BV12" i="10"/>
  <c r="HC78" i="10"/>
  <c r="GZ76" i="10"/>
  <c r="HK79" i="10"/>
  <c r="GA3" i="10"/>
  <c r="AP8" i="10"/>
  <c r="DB17" i="10" s="1"/>
  <c r="FT17" i="10"/>
  <c r="BW13" i="10"/>
  <c r="IM13" i="10"/>
  <c r="GC17" i="10"/>
  <c r="HJ76" i="10"/>
  <c r="AA9" i="10"/>
  <c r="DB10" i="10" s="1"/>
  <c r="GH3" i="10"/>
  <c r="AP3" i="10"/>
  <c r="DB12" i="10" s="1"/>
  <c r="DJ12" i="10" s="1"/>
  <c r="DK12" i="10" s="1"/>
  <c r="HA76" i="10"/>
  <c r="HK76" i="10"/>
  <c r="HA79" i="10"/>
  <c r="HM79" i="10"/>
  <c r="FT12" i="10"/>
  <c r="GH12" i="10"/>
  <c r="FT10" i="10"/>
  <c r="HM78" i="10"/>
  <c r="HC79" i="10"/>
  <c r="GC3" i="10"/>
  <c r="GC10" i="10"/>
  <c r="BY15" i="10"/>
  <c r="HJ77" i="10"/>
  <c r="GA17" i="10"/>
  <c r="HA77" i="10"/>
  <c r="HK77" i="10"/>
  <c r="GZ78" i="10"/>
  <c r="HJ78" i="10"/>
  <c r="IM14" i="10"/>
  <c r="GZ77" i="10"/>
  <c r="IM15" i="10"/>
  <c r="GH6" i="10"/>
  <c r="FY6" i="10"/>
  <c r="Z5" i="10"/>
  <c r="DA6" i="10" s="1"/>
  <c r="DA30" i="10" s="1"/>
  <c r="FY11" i="10"/>
  <c r="AO8" i="10"/>
  <c r="DA17" i="10" s="1"/>
  <c r="DA41" i="10" s="1"/>
  <c r="BT43" i="10"/>
  <c r="GZ72" i="10"/>
  <c r="AO2" i="10"/>
  <c r="DA11" i="10" s="1"/>
  <c r="DA35" i="10" s="1"/>
  <c r="GH8" i="10"/>
  <c r="FW17" i="10"/>
  <c r="BR41" i="10"/>
  <c r="BS42" i="10"/>
  <c r="HJ72" i="10"/>
  <c r="HJ74" i="10"/>
  <c r="GX73" i="10"/>
  <c r="HC73" i="10" s="1"/>
  <c r="GB6" i="10"/>
  <c r="GB8" i="10"/>
  <c r="HA72" i="10"/>
  <c r="HK72" i="10"/>
  <c r="HA74" i="10"/>
  <c r="HK74" i="10"/>
  <c r="GZ75" i="10"/>
  <c r="HJ75" i="10"/>
  <c r="GH11" i="10"/>
  <c r="BQ40" i="10"/>
  <c r="IC47" i="10"/>
  <c r="ID47" i="10" s="1"/>
  <c r="HA75" i="10"/>
  <c r="HK75" i="10"/>
  <c r="FW11" i="10"/>
  <c r="HY51" i="10"/>
  <c r="HK73" i="10"/>
  <c r="HJ73" i="10"/>
  <c r="GI7" i="10"/>
  <c r="FV12" i="10"/>
  <c r="HJ68" i="10"/>
  <c r="GZ70" i="10"/>
  <c r="HK68" i="10"/>
  <c r="HC70" i="10"/>
  <c r="GZ68" i="10"/>
  <c r="Z6" i="10"/>
  <c r="DA7" i="10" s="1"/>
  <c r="DA31" i="10" s="1"/>
  <c r="GC7" i="10"/>
  <c r="FX12" i="10"/>
  <c r="BT39" i="10"/>
  <c r="HC68" i="10"/>
  <c r="Z4" i="10"/>
  <c r="DA5" i="10" s="1"/>
  <c r="DA29" i="10" s="1"/>
  <c r="FX5" i="10"/>
  <c r="HJ70" i="10"/>
  <c r="HA71" i="10"/>
  <c r="FV7" i="10"/>
  <c r="GI5" i="10"/>
  <c r="BQ36" i="10"/>
  <c r="GZ69" i="10"/>
  <c r="HJ69" i="10"/>
  <c r="HC71" i="10"/>
  <c r="HM71" i="10"/>
  <c r="FV18" i="10"/>
  <c r="BR37" i="10"/>
  <c r="BS38" i="10"/>
  <c r="HA69" i="10"/>
  <c r="HK69" i="10"/>
  <c r="IC42" i="10"/>
  <c r="ID42" i="10" s="1"/>
  <c r="GI12" i="10"/>
  <c r="Z3" i="10"/>
  <c r="DA4" i="10" s="1"/>
  <c r="DA28" i="10" s="1"/>
  <c r="AO6" i="10"/>
  <c r="DA15" i="10" s="1"/>
  <c r="DA39" i="10" s="1"/>
  <c r="FU13" i="10"/>
  <c r="FU15" i="10"/>
  <c r="GD15" i="10"/>
  <c r="BT35" i="10"/>
  <c r="IC38" i="10"/>
  <c r="HK64" i="10"/>
  <c r="GD4" i="10"/>
  <c r="GF13" i="10"/>
  <c r="GF4" i="10"/>
  <c r="GA15" i="10"/>
  <c r="HA64" i="10"/>
  <c r="GZ65" i="10"/>
  <c r="GD10" i="10"/>
  <c r="BS34" i="10"/>
  <c r="HC64" i="10"/>
  <c r="HM64" i="10"/>
  <c r="HA66" i="10"/>
  <c r="HK66" i="10"/>
  <c r="GZ67" i="10"/>
  <c r="HJ67" i="10"/>
  <c r="IC39" i="10"/>
  <c r="ID39" i="10" s="1"/>
  <c r="HA67" i="10"/>
  <c r="HK67" i="10"/>
  <c r="GF10" i="10"/>
  <c r="GA4" i="10"/>
  <c r="FU10" i="10"/>
  <c r="GA13" i="10"/>
  <c r="BQ32" i="10"/>
  <c r="FT14" i="10"/>
  <c r="Z2" i="10"/>
  <c r="DA3" i="10" s="1"/>
  <c r="DA27" i="10" s="1"/>
  <c r="AO5" i="10"/>
  <c r="DA14" i="10" s="1"/>
  <c r="DA38" i="10" s="1"/>
  <c r="DD38" i="10" s="1"/>
  <c r="DE38" i="10" s="1"/>
  <c r="Z8" i="10"/>
  <c r="DA9" i="10" s="1"/>
  <c r="DA33" i="10" s="1"/>
  <c r="BT31" i="10"/>
  <c r="BR29" i="10"/>
  <c r="GE3" i="10"/>
  <c r="GE9" i="10"/>
  <c r="HC61" i="10"/>
  <c r="GG3" i="10"/>
  <c r="AO7" i="10"/>
  <c r="DA16" i="10" s="1"/>
  <c r="DA40" i="10" s="1"/>
  <c r="BQ28" i="10"/>
  <c r="HC60" i="10"/>
  <c r="ID34" i="10"/>
  <c r="FZ16" i="10"/>
  <c r="GG14" i="10"/>
  <c r="FT16" i="10"/>
  <c r="HK60" i="10"/>
  <c r="HM61" i="10"/>
  <c r="GG9" i="10"/>
  <c r="GE16" i="10"/>
  <c r="HA60" i="10"/>
  <c r="HM60" i="10"/>
  <c r="ID32" i="10"/>
  <c r="ID33" i="10"/>
  <c r="ID35" i="10"/>
  <c r="BS30" i="10"/>
  <c r="GZ61" i="10"/>
  <c r="HJ61" i="10"/>
  <c r="HA62" i="10"/>
  <c r="HK62" i="10"/>
  <c r="HA63" i="10"/>
  <c r="HK63" i="10"/>
  <c r="HC62" i="10"/>
  <c r="HM62" i="10"/>
  <c r="HC63" i="10"/>
  <c r="HM63" i="10"/>
  <c r="HK57" i="10"/>
  <c r="GF6" i="10"/>
  <c r="HM56" i="10"/>
  <c r="HM58" i="10"/>
  <c r="FW9" i="10"/>
  <c r="HC56" i="10"/>
  <c r="FZ6" i="10"/>
  <c r="Y5" i="10"/>
  <c r="CZ6" i="10" s="1"/>
  <c r="CZ30" i="10" s="1"/>
  <c r="CZ50" i="10" s="1"/>
  <c r="HM59" i="10"/>
  <c r="GC9" i="10"/>
  <c r="HA57" i="10"/>
  <c r="HM57" i="10"/>
  <c r="HC59" i="10"/>
  <c r="AN3" i="10"/>
  <c r="CZ12" i="10" s="1"/>
  <c r="CZ36" i="10" s="1"/>
  <c r="CZ56" i="10" s="1"/>
  <c r="FW12" i="10"/>
  <c r="IC28" i="10"/>
  <c r="IC29" i="10"/>
  <c r="GZ56" i="10"/>
  <c r="HC57" i="10"/>
  <c r="HC58" i="10"/>
  <c r="GC6" i="10"/>
  <c r="GF12" i="10"/>
  <c r="FW15" i="10"/>
  <c r="GC15" i="10"/>
  <c r="BT27" i="10"/>
  <c r="BQ24" i="10"/>
  <c r="GZ58" i="10"/>
  <c r="HJ58" i="10"/>
  <c r="GZ59" i="10"/>
  <c r="HJ59" i="10"/>
  <c r="BD9" i="10"/>
  <c r="GA5" i="10"/>
  <c r="GA16" i="10"/>
  <c r="GG10" i="10"/>
  <c r="HC54" i="10"/>
  <c r="GB5" i="10"/>
  <c r="GG5" i="10"/>
  <c r="FV10" i="10"/>
  <c r="FV11" i="10"/>
  <c r="GA11" i="10"/>
  <c r="FV16" i="10"/>
  <c r="HC52" i="10"/>
  <c r="HC53" i="10"/>
  <c r="HM55" i="10"/>
  <c r="Y4" i="10"/>
  <c r="CZ5" i="10" s="1"/>
  <c r="CZ29" i="10" s="1"/>
  <c r="CZ49" i="10" s="1"/>
  <c r="GB10" i="10"/>
  <c r="GG11" i="10"/>
  <c r="GB16" i="10"/>
  <c r="HM52" i="10"/>
  <c r="HM53" i="10"/>
  <c r="HC55" i="10"/>
  <c r="BQ20" i="10"/>
  <c r="BR21" i="10"/>
  <c r="BT23" i="10"/>
  <c r="IC24" i="10"/>
  <c r="ID24" i="10" s="1"/>
  <c r="GZ52" i="10"/>
  <c r="HJ52" i="10"/>
  <c r="GZ53" i="10"/>
  <c r="HJ53" i="10"/>
  <c r="GZ54" i="10"/>
  <c r="HJ54" i="10"/>
  <c r="GZ55" i="10"/>
  <c r="HJ55" i="10"/>
  <c r="GH7" i="10"/>
  <c r="HJ49" i="10"/>
  <c r="GZ49" i="10"/>
  <c r="BR17" i="10"/>
  <c r="GZ50" i="10"/>
  <c r="HJ50" i="10"/>
  <c r="HK51" i="10"/>
  <c r="IC18" i="10"/>
  <c r="HA50" i="10"/>
  <c r="HK50" i="10"/>
  <c r="HM51" i="10"/>
  <c r="FU7" i="10"/>
  <c r="Y6" i="10"/>
  <c r="CZ7" i="10" s="1"/>
  <c r="CZ31" i="10" s="1"/>
  <c r="CZ51" i="10" s="1"/>
  <c r="FX14" i="10"/>
  <c r="FU17" i="10"/>
  <c r="HC51" i="10"/>
  <c r="IC17" i="10"/>
  <c r="GE7" i="10"/>
  <c r="BQ16" i="10"/>
  <c r="IC20" i="10"/>
  <c r="GZ48" i="10"/>
  <c r="HJ48" i="10"/>
  <c r="HA49" i="10"/>
  <c r="HK49" i="10"/>
  <c r="AN5" i="10"/>
  <c r="CZ14" i="10" s="1"/>
  <c r="CZ38" i="10" s="1"/>
  <c r="CZ58" i="10" s="1"/>
  <c r="FU14" i="10"/>
  <c r="GH14" i="10"/>
  <c r="BS18" i="10"/>
  <c r="HA48" i="10"/>
  <c r="HK48" i="10"/>
  <c r="GZ51" i="10"/>
  <c r="GE4" i="10"/>
  <c r="IC13" i="10"/>
  <c r="FT18" i="10"/>
  <c r="FY18" i="10"/>
  <c r="HM46" i="10"/>
  <c r="GI8" i="10"/>
  <c r="HC46" i="10"/>
  <c r="HA47" i="10"/>
  <c r="FY3" i="10"/>
  <c r="GD3" i="10"/>
  <c r="GI3" i="10"/>
  <c r="GX44" i="10"/>
  <c r="HC44" i="10" s="1"/>
  <c r="HC47" i="10"/>
  <c r="GD8" i="10"/>
  <c r="Y2" i="10"/>
  <c r="CZ3" i="10" s="1"/>
  <c r="CZ27" i="10" s="1"/>
  <c r="CZ47" i="10" s="1"/>
  <c r="FT8" i="10"/>
  <c r="IC12" i="10"/>
  <c r="HK47" i="10"/>
  <c r="GD18" i="10"/>
  <c r="GZ45" i="10"/>
  <c r="HJ45" i="10"/>
  <c r="AN4" i="10"/>
  <c r="CZ13" i="10" s="1"/>
  <c r="CZ37" i="10" s="1"/>
  <c r="CZ57" i="10" s="1"/>
  <c r="FT13" i="10"/>
  <c r="FY13" i="10"/>
  <c r="IC14" i="10"/>
  <c r="BT15" i="10"/>
  <c r="HA45" i="10"/>
  <c r="HK45" i="10"/>
  <c r="GZ46" i="10"/>
  <c r="HJ46" i="10"/>
  <c r="IC15" i="10"/>
  <c r="BS14" i="10"/>
  <c r="HZ16" i="10"/>
  <c r="IE16" i="10" s="1"/>
  <c r="IG16" i="10" s="1"/>
  <c r="G22" i="52" s="1"/>
  <c r="HJ44" i="10"/>
  <c r="HY12" i="10"/>
  <c r="IE12" i="10" s="1"/>
  <c r="HK44" i="10"/>
  <c r="BO43" i="10"/>
  <c r="HA42" i="10"/>
  <c r="GI14" i="10"/>
  <c r="HJ40" i="10"/>
  <c r="HJ43" i="10"/>
  <c r="FW14" i="10"/>
  <c r="AM5" i="10"/>
  <c r="CY14" i="10" s="1"/>
  <c r="CY38" i="10" s="1"/>
  <c r="CY58" i="10" s="1"/>
  <c r="GE6" i="10"/>
  <c r="GE18" i="10"/>
  <c r="HK40" i="10"/>
  <c r="BN42" i="10"/>
  <c r="GZ40" i="10"/>
  <c r="HA40" i="10"/>
  <c r="HJ42" i="10"/>
  <c r="GZ43" i="10"/>
  <c r="HS47" i="10"/>
  <c r="GA18" i="10"/>
  <c r="GZ42" i="10"/>
  <c r="HK42" i="10"/>
  <c r="X9" i="10"/>
  <c r="CY10" i="10" s="1"/>
  <c r="CY34" i="10" s="1"/>
  <c r="CY54" i="10" s="1"/>
  <c r="FW10" i="10"/>
  <c r="GE10" i="10"/>
  <c r="GI10" i="10"/>
  <c r="GZ41" i="10"/>
  <c r="HJ41" i="10"/>
  <c r="HA43" i="10"/>
  <c r="HK43" i="10"/>
  <c r="HA41" i="10"/>
  <c r="HK41" i="10"/>
  <c r="HS48" i="10"/>
  <c r="GA6" i="10"/>
  <c r="GA14" i="10"/>
  <c r="HJ36" i="10"/>
  <c r="GZ36" i="10"/>
  <c r="HM36" i="10"/>
  <c r="GH9" i="10"/>
  <c r="HC36" i="10"/>
  <c r="X8" i="10"/>
  <c r="CY9" i="10" s="1"/>
  <c r="CY33" i="10" s="1"/>
  <c r="CY53" i="10" s="1"/>
  <c r="HC37" i="10"/>
  <c r="HK39" i="10"/>
  <c r="GH5" i="10"/>
  <c r="FV17" i="10"/>
  <c r="FZ17" i="10"/>
  <c r="HJ37" i="10"/>
  <c r="HA39" i="10"/>
  <c r="HS42" i="10"/>
  <c r="GZ38" i="10"/>
  <c r="HJ38" i="10"/>
  <c r="BO39" i="10"/>
  <c r="HC39" i="10"/>
  <c r="HM39" i="10"/>
  <c r="GQ13" i="10"/>
  <c r="GR13" i="10" s="1"/>
  <c r="FZ5" i="10"/>
  <c r="GD5" i="10"/>
  <c r="BL36" i="10"/>
  <c r="BN38" i="10"/>
  <c r="HA38" i="10"/>
  <c r="HK38" i="10"/>
  <c r="HS44" i="10"/>
  <c r="HT44" i="10" s="1"/>
  <c r="FV9" i="10"/>
  <c r="GD9" i="10"/>
  <c r="GZ34" i="10"/>
  <c r="HK34" i="10"/>
  <c r="HA34" i="10"/>
  <c r="HA32" i="10"/>
  <c r="HJ35" i="10"/>
  <c r="BN34" i="10"/>
  <c r="HS40" i="10"/>
  <c r="HS38" i="10"/>
  <c r="HC35" i="10"/>
  <c r="GZ35" i="10"/>
  <c r="FU12" i="10"/>
  <c r="FY12" i="10"/>
  <c r="FU16" i="10"/>
  <c r="FY16" i="10"/>
  <c r="GC16" i="10"/>
  <c r="BL32" i="10"/>
  <c r="HA33" i="10"/>
  <c r="HK33" i="10"/>
  <c r="HS37" i="10"/>
  <c r="GG4" i="10"/>
  <c r="GZ33" i="10"/>
  <c r="HJ33" i="10"/>
  <c r="FU8" i="10"/>
  <c r="GC8" i="10"/>
  <c r="GG8" i="10"/>
  <c r="GG12" i="10"/>
  <c r="BO35" i="10"/>
  <c r="HP41" i="10"/>
  <c r="HU41" i="10" s="1"/>
  <c r="HW41" i="10" s="1"/>
  <c r="G18" i="52" s="1"/>
  <c r="AB7" i="10"/>
  <c r="CA17" i="10" s="1"/>
  <c r="BN30" i="10"/>
  <c r="X6" i="10"/>
  <c r="CY7" i="10" s="1"/>
  <c r="CY31" i="10" s="1"/>
  <c r="CY51" i="10" s="1"/>
  <c r="HJ30" i="10"/>
  <c r="GZ28" i="10"/>
  <c r="GZ30" i="10"/>
  <c r="GF11" i="10"/>
  <c r="HJ31" i="10"/>
  <c r="GB3" i="10"/>
  <c r="GF3" i="10"/>
  <c r="AM6" i="10"/>
  <c r="CY15" i="10" s="1"/>
  <c r="CY39" i="10" s="1"/>
  <c r="CY59" i="10" s="1"/>
  <c r="GF7" i="10"/>
  <c r="FT15" i="10"/>
  <c r="FX15" i="10"/>
  <c r="GB15" i="10"/>
  <c r="HM31" i="10"/>
  <c r="HA28" i="10"/>
  <c r="HK28" i="10"/>
  <c r="GZ29" i="10"/>
  <c r="HJ29" i="10"/>
  <c r="HA30" i="10"/>
  <c r="HK30" i="10"/>
  <c r="HA31" i="10"/>
  <c r="HS35" i="10"/>
  <c r="AM2" i="10"/>
  <c r="CY11" i="10" s="1"/>
  <c r="CY35" i="10" s="1"/>
  <c r="CY55" i="10" s="1"/>
  <c r="HA29" i="10"/>
  <c r="HK29" i="10"/>
  <c r="BO31" i="10"/>
  <c r="HS32" i="10"/>
  <c r="BM29" i="10"/>
  <c r="X2" i="10"/>
  <c r="CY3" i="10" s="1"/>
  <c r="CY27" i="10" s="1"/>
  <c r="CY47" i="10" s="1"/>
  <c r="GB7" i="10"/>
  <c r="FT11" i="10"/>
  <c r="FX11" i="10"/>
  <c r="HK24" i="10"/>
  <c r="HK25" i="10"/>
  <c r="HM25" i="10"/>
  <c r="HC26" i="10"/>
  <c r="GZ24" i="10"/>
  <c r="HA26" i="10"/>
  <c r="GG15" i="10"/>
  <c r="HJ24" i="10"/>
  <c r="GH15" i="10"/>
  <c r="GF16" i="10"/>
  <c r="GF18" i="10"/>
  <c r="HA24" i="10"/>
  <c r="HA25" i="10"/>
  <c r="BO27" i="10"/>
  <c r="AL8" i="10"/>
  <c r="GI15" i="10"/>
  <c r="GH16" i="10"/>
  <c r="GF17" i="10"/>
  <c r="GG18" i="10"/>
  <c r="AL6" i="10"/>
  <c r="AL9" i="10"/>
  <c r="CX18" i="10" s="1"/>
  <c r="DC18" i="10" s="1"/>
  <c r="GI16" i="10"/>
  <c r="GG17" i="10"/>
  <c r="GH18" i="10"/>
  <c r="CX42" i="10"/>
  <c r="DF18" i="10"/>
  <c r="DG18" i="10" s="1"/>
  <c r="DH18" i="10"/>
  <c r="DI18" i="10" s="1"/>
  <c r="GQ18" i="10"/>
  <c r="GR18" i="10" s="1"/>
  <c r="CX16" i="10"/>
  <c r="HC25" i="10"/>
  <c r="GZ27" i="10"/>
  <c r="HJ27" i="10"/>
  <c r="BM25" i="10"/>
  <c r="BN26" i="10"/>
  <c r="HA27" i="10"/>
  <c r="HK27" i="10"/>
  <c r="HS27" i="10"/>
  <c r="HT27" i="10" s="1"/>
  <c r="GD14" i="10"/>
  <c r="GE13" i="10"/>
  <c r="HA22" i="10"/>
  <c r="AQ4" i="10"/>
  <c r="CA22" i="10" s="1"/>
  <c r="CX38" i="10"/>
  <c r="CX12" i="10"/>
  <c r="HJ20" i="10"/>
  <c r="HS23" i="10"/>
  <c r="GZ20" i="10"/>
  <c r="HM20" i="10"/>
  <c r="HK22" i="10"/>
  <c r="HC20" i="10"/>
  <c r="GE11" i="10"/>
  <c r="AL2" i="10"/>
  <c r="GB12" i="10"/>
  <c r="BN22" i="10"/>
  <c r="GB13" i="10"/>
  <c r="GC11" i="10"/>
  <c r="HS24" i="10"/>
  <c r="CX36" i="10"/>
  <c r="DC38" i="10"/>
  <c r="CX58" i="10"/>
  <c r="DF38" i="10"/>
  <c r="DG38" i="10" s="1"/>
  <c r="HM21" i="10"/>
  <c r="HK21" i="10"/>
  <c r="HJ21" i="10"/>
  <c r="DH38" i="10"/>
  <c r="DI38" i="10" s="1"/>
  <c r="DJ13" i="10"/>
  <c r="DK13" i="10" s="1"/>
  <c r="DF13" i="10"/>
  <c r="DG13" i="10" s="1"/>
  <c r="CX37" i="10"/>
  <c r="DH13" i="10"/>
  <c r="DI13" i="10" s="1"/>
  <c r="DD13" i="10"/>
  <c r="DE13" i="10" s="1"/>
  <c r="DC13" i="10"/>
  <c r="HM23" i="10"/>
  <c r="HK23" i="10"/>
  <c r="HJ23" i="10"/>
  <c r="HC23" i="10"/>
  <c r="HA23" i="10"/>
  <c r="GZ23" i="10"/>
  <c r="GD11" i="10"/>
  <c r="GD12" i="10"/>
  <c r="GC13" i="10"/>
  <c r="BL20" i="10"/>
  <c r="GC14" i="10"/>
  <c r="HC21" i="10"/>
  <c r="HA21" i="10"/>
  <c r="GZ21" i="10"/>
  <c r="HC22" i="10"/>
  <c r="HM22" i="10"/>
  <c r="FY9" i="10"/>
  <c r="HC19" i="10"/>
  <c r="W8" i="10"/>
  <c r="CX9" i="10" s="1"/>
  <c r="FZ8" i="10"/>
  <c r="BM17" i="10"/>
  <c r="FZ10" i="10"/>
  <c r="GZ16" i="10"/>
  <c r="HA16" i="10"/>
  <c r="HM19" i="10"/>
  <c r="HJ16" i="10"/>
  <c r="HJ18" i="10"/>
  <c r="HK16" i="10"/>
  <c r="HK18" i="10"/>
  <c r="DF9" i="10"/>
  <c r="DG9" i="10" s="1"/>
  <c r="FY10" i="10"/>
  <c r="GA8" i="10"/>
  <c r="W9" i="10"/>
  <c r="BO19" i="10"/>
  <c r="GA9" i="10"/>
  <c r="HC17" i="10"/>
  <c r="HA17" i="10"/>
  <c r="GZ17" i="10"/>
  <c r="CX33" i="10"/>
  <c r="FX9" i="10"/>
  <c r="HS17" i="10"/>
  <c r="HT17" i="10" s="1"/>
  <c r="BL16" i="10"/>
  <c r="FX10" i="10"/>
  <c r="GA7" i="10"/>
  <c r="W6" i="10"/>
  <c r="HM17" i="10"/>
  <c r="HK17" i="10"/>
  <c r="HJ17" i="10"/>
  <c r="BN18" i="10"/>
  <c r="GZ19" i="10"/>
  <c r="HJ19" i="10"/>
  <c r="GX18" i="10"/>
  <c r="CX8" i="10"/>
  <c r="HP21" i="10" s="1"/>
  <c r="HU21" i="10" s="1"/>
  <c r="HW21" i="10" s="1"/>
  <c r="G13" i="52" s="1"/>
  <c r="AB3" i="10"/>
  <c r="CA13" i="10" s="1"/>
  <c r="W4" i="10"/>
  <c r="CX5" i="10" s="1"/>
  <c r="FT4" i="10"/>
  <c r="FW5" i="10"/>
  <c r="DC6" i="10"/>
  <c r="HS14" i="10"/>
  <c r="HT14" i="10" s="1"/>
  <c r="FT6" i="10"/>
  <c r="BM13" i="10"/>
  <c r="HK13" i="10"/>
  <c r="FU3" i="10"/>
  <c r="FV4" i="10"/>
  <c r="FV3" i="10"/>
  <c r="FW4" i="10"/>
  <c r="FT5" i="10"/>
  <c r="FU6" i="10"/>
  <c r="BL12" i="10"/>
  <c r="HS12" i="10"/>
  <c r="BN14" i="10"/>
  <c r="FU5" i="10"/>
  <c r="HT13" i="10"/>
  <c r="CX28" i="10"/>
  <c r="CX48" i="10" s="1"/>
  <c r="DD48" i="10" s="1"/>
  <c r="DE48" i="10" s="1"/>
  <c r="DD4" i="10"/>
  <c r="DE4" i="10" s="1"/>
  <c r="DH4" i="10"/>
  <c r="DI4" i="10" s="1"/>
  <c r="HA13" i="10"/>
  <c r="CE25" i="51"/>
  <c r="AQ25" i="51" s="1"/>
  <c r="CE3" i="51"/>
  <c r="AQ3" i="51" s="1"/>
  <c r="HJ12" i="10"/>
  <c r="HK15" i="10"/>
  <c r="CE14" i="51"/>
  <c r="AQ14" i="51" s="1"/>
  <c r="BM6" i="51"/>
  <c r="BQ6" i="51"/>
  <c r="CX27" i="10"/>
  <c r="DH3" i="10"/>
  <c r="DI3" i="10" s="1"/>
  <c r="DD3" i="10"/>
  <c r="DE3" i="10" s="1"/>
  <c r="GQ3" i="10"/>
  <c r="GR3" i="10" s="1"/>
  <c r="DC3" i="10"/>
  <c r="DJ3" i="10"/>
  <c r="DK3" i="10" s="1"/>
  <c r="DF3" i="10"/>
  <c r="DG3" i="10" s="1"/>
  <c r="CX29" i="10"/>
  <c r="DJ5" i="10"/>
  <c r="DK5" i="10" s="1"/>
  <c r="DF5" i="10"/>
  <c r="DG5" i="10" s="1"/>
  <c r="DC5" i="10"/>
  <c r="AB2" i="10"/>
  <c r="CA12" i="10" s="1"/>
  <c r="AB4" i="10"/>
  <c r="CA14" i="10" s="1"/>
  <c r="DD5" i="10"/>
  <c r="DE5" i="10" s="1"/>
  <c r="GZ12" i="10"/>
  <c r="HC12" i="10"/>
  <c r="HM14" i="10"/>
  <c r="HK14" i="10"/>
  <c r="HJ14" i="10"/>
  <c r="HT15" i="10"/>
  <c r="DH5" i="10"/>
  <c r="DI5" i="10" s="1"/>
  <c r="HC14" i="10"/>
  <c r="HA14" i="10"/>
  <c r="GZ14" i="10"/>
  <c r="DJ28" i="10"/>
  <c r="DK28" i="10" s="1"/>
  <c r="DF4" i="10"/>
  <c r="DG4" i="10" s="1"/>
  <c r="DJ4" i="10"/>
  <c r="DK4" i="10" s="1"/>
  <c r="GQ5" i="10"/>
  <c r="GR5" i="10" s="1"/>
  <c r="DF48" i="10"/>
  <c r="DG48" i="10" s="1"/>
  <c r="DC4" i="10"/>
  <c r="GQ4" i="10"/>
  <c r="GR4" i="10" s="1"/>
  <c r="DJ6" i="10"/>
  <c r="DK6" i="10" s="1"/>
  <c r="DD28" i="10"/>
  <c r="DE28" i="10" s="1"/>
  <c r="CX30" i="10"/>
  <c r="DH48" i="10"/>
  <c r="DI48" i="10" s="1"/>
  <c r="HK12" i="10"/>
  <c r="HC13" i="10"/>
  <c r="HM13" i="10"/>
  <c r="HC15" i="10"/>
  <c r="HM15" i="10"/>
  <c r="CC5" i="51"/>
  <c r="AO5" i="51" s="1"/>
  <c r="BM5" i="51"/>
  <c r="CC12" i="51"/>
  <c r="AO12" i="51" s="1"/>
  <c r="CC19" i="51"/>
  <c r="AO19" i="51" s="1"/>
  <c r="CC8" i="51"/>
  <c r="AO8" i="51" s="1"/>
  <c r="BC7" i="54"/>
  <c r="CE4" i="51"/>
  <c r="AQ4" i="51" s="1"/>
  <c r="BQ5" i="51"/>
  <c r="CC4" i="51"/>
  <c r="AO4" i="51" s="1"/>
  <c r="CE10" i="51"/>
  <c r="AQ10" i="51" s="1"/>
  <c r="CE20" i="51"/>
  <c r="AQ20" i="51" s="1"/>
  <c r="AY5" i="54"/>
  <c r="CC41" i="51"/>
  <c r="AO41" i="51" s="1"/>
  <c r="CC42" i="51"/>
  <c r="AO42" i="51" s="1"/>
  <c r="CC40" i="51"/>
  <c r="AO40" i="51" s="1"/>
  <c r="CC36" i="51"/>
  <c r="AO36" i="51" s="1"/>
  <c r="CC32" i="51"/>
  <c r="AO32" i="51" s="1"/>
  <c r="CC28" i="51"/>
  <c r="AO28" i="51" s="1"/>
  <c r="CC24" i="51"/>
  <c r="AO24" i="51" s="1"/>
  <c r="CC20" i="51"/>
  <c r="AO20" i="51" s="1"/>
  <c r="CC37" i="51"/>
  <c r="AO37" i="51" s="1"/>
  <c r="CC33" i="51"/>
  <c r="AO33" i="51" s="1"/>
  <c r="CC29" i="51"/>
  <c r="AO29" i="51" s="1"/>
  <c r="CC25" i="51"/>
  <c r="AO25" i="51" s="1"/>
  <c r="CC21" i="51"/>
  <c r="AO21" i="51" s="1"/>
  <c r="CC38" i="51"/>
  <c r="AO38" i="51" s="1"/>
  <c r="CC34" i="51"/>
  <c r="AO34" i="51" s="1"/>
  <c r="CC30" i="51"/>
  <c r="AO30" i="51" s="1"/>
  <c r="CC26" i="51"/>
  <c r="AO26" i="51" s="1"/>
  <c r="CC22" i="51"/>
  <c r="AO22" i="51" s="1"/>
  <c r="CC31" i="51"/>
  <c r="AO31" i="51" s="1"/>
  <c r="CC17" i="51"/>
  <c r="AO17" i="51" s="1"/>
  <c r="CC13" i="51"/>
  <c r="AO13" i="51" s="1"/>
  <c r="CC9" i="51"/>
  <c r="AO9" i="51" s="1"/>
  <c r="CC27" i="51"/>
  <c r="AO27" i="51" s="1"/>
  <c r="CC18" i="51"/>
  <c r="AO18" i="51" s="1"/>
  <c r="CC14" i="51"/>
  <c r="AO14" i="51" s="1"/>
  <c r="CC10" i="51"/>
  <c r="AO10" i="51" s="1"/>
  <c r="CC6" i="51"/>
  <c r="AO6" i="51" s="1"/>
  <c r="CC39" i="51"/>
  <c r="AO39" i="51" s="1"/>
  <c r="CC23" i="51"/>
  <c r="AO23" i="51" s="1"/>
  <c r="CC15" i="51"/>
  <c r="AO15" i="51" s="1"/>
  <c r="CC11" i="51"/>
  <c r="AO11" i="51" s="1"/>
  <c r="CC7" i="51"/>
  <c r="AO7" i="51" s="1"/>
  <c r="CE42" i="51"/>
  <c r="AQ42" i="51" s="1"/>
  <c r="BC5" i="54"/>
  <c r="CE41" i="51"/>
  <c r="AQ41" i="51" s="1"/>
  <c r="CE38" i="51"/>
  <c r="AQ38" i="51" s="1"/>
  <c r="CE34" i="51"/>
  <c r="AQ34" i="51" s="1"/>
  <c r="CE30" i="51"/>
  <c r="AQ30" i="51" s="1"/>
  <c r="CE26" i="51"/>
  <c r="AQ26" i="51" s="1"/>
  <c r="CE22" i="51"/>
  <c r="AQ22" i="51" s="1"/>
  <c r="CE39" i="51"/>
  <c r="AQ39" i="51" s="1"/>
  <c r="CE35" i="51"/>
  <c r="AQ35" i="51" s="1"/>
  <c r="CE31" i="51"/>
  <c r="AQ31" i="51" s="1"/>
  <c r="CE27" i="51"/>
  <c r="AQ27" i="51" s="1"/>
  <c r="CE23" i="51"/>
  <c r="AQ23" i="51" s="1"/>
  <c r="CE19" i="51"/>
  <c r="AQ19" i="51" s="1"/>
  <c r="CE40" i="51"/>
  <c r="AQ40" i="51" s="1"/>
  <c r="CE36" i="51"/>
  <c r="AQ36" i="51" s="1"/>
  <c r="CE32" i="51"/>
  <c r="AQ32" i="51" s="1"/>
  <c r="CE28" i="51"/>
  <c r="AQ28" i="51" s="1"/>
  <c r="CE24" i="51"/>
  <c r="AQ24" i="51" s="1"/>
  <c r="CE37" i="51"/>
  <c r="AQ37" i="51" s="1"/>
  <c r="CE21" i="51"/>
  <c r="AQ21" i="51" s="1"/>
  <c r="CE15" i="51"/>
  <c r="AQ15" i="51" s="1"/>
  <c r="CE11" i="51"/>
  <c r="AQ11" i="51" s="1"/>
  <c r="CE7" i="51"/>
  <c r="AQ7" i="51" s="1"/>
  <c r="CE33" i="51"/>
  <c r="AQ33" i="51" s="1"/>
  <c r="CE16" i="51"/>
  <c r="AQ16" i="51" s="1"/>
  <c r="CE12" i="51"/>
  <c r="AQ12" i="51" s="1"/>
  <c r="CE8" i="51"/>
  <c r="AQ8" i="51" s="1"/>
  <c r="CE29" i="51"/>
  <c r="AQ29" i="51" s="1"/>
  <c r="CE17" i="51"/>
  <c r="AQ17" i="51" s="1"/>
  <c r="CE13" i="51"/>
  <c r="AQ13" i="51" s="1"/>
  <c r="CE9" i="51"/>
  <c r="AQ9" i="51" s="1"/>
  <c r="CE5" i="51"/>
  <c r="AQ5" i="51" s="1"/>
  <c r="CC3" i="51"/>
  <c r="AO3" i="51" s="1"/>
  <c r="BM4" i="51"/>
  <c r="BQ4" i="51"/>
  <c r="CE6" i="51"/>
  <c r="AQ6" i="51" s="1"/>
  <c r="CC16" i="51"/>
  <c r="AO16" i="51" s="1"/>
  <c r="CE18" i="51"/>
  <c r="AQ18" i="51" s="1"/>
  <c r="CC35" i="51"/>
  <c r="AO35" i="51" s="1"/>
  <c r="IQ45" i="10" l="1"/>
  <c r="F39" i="52" s="1"/>
  <c r="IQ44" i="10"/>
  <c r="E39" i="52" s="1"/>
  <c r="BV50" i="10"/>
  <c r="BV48" i="10"/>
  <c r="BV51" i="10"/>
  <c r="IN39" i="10"/>
  <c r="IN37" i="10"/>
  <c r="IQ37" i="10" s="1"/>
  <c r="C37" i="52" s="1"/>
  <c r="IQ39" i="10"/>
  <c r="E37" i="52" s="1"/>
  <c r="Z8" i="51"/>
  <c r="Z7" i="51"/>
  <c r="Z5" i="51"/>
  <c r="AN2" i="66"/>
  <c r="CZ11" i="66" s="1"/>
  <c r="CZ35" i="66" s="1"/>
  <c r="CZ55" i="66" s="1"/>
  <c r="AM2" i="66"/>
  <c r="CY11" i="66" s="1"/>
  <c r="CY35" i="66" s="1"/>
  <c r="CY55" i="66" s="1"/>
  <c r="AP2" i="66"/>
  <c r="DB11" i="66" s="1"/>
  <c r="AL2" i="66"/>
  <c r="AO2" i="66"/>
  <c r="DA11" i="66" s="1"/>
  <c r="DA35" i="66" s="1"/>
  <c r="FW8" i="10"/>
  <c r="FW13" i="10"/>
  <c r="AO4" i="66"/>
  <c r="DA13" i="66" s="1"/>
  <c r="DA37" i="66" s="1"/>
  <c r="AN4" i="66"/>
  <c r="CZ13" i="66" s="1"/>
  <c r="CZ37" i="66" s="1"/>
  <c r="CZ57" i="66" s="1"/>
  <c r="AM4" i="66"/>
  <c r="CY13" i="66" s="1"/>
  <c r="CY37" i="66" s="1"/>
  <c r="CY57" i="66" s="1"/>
  <c r="Z9" i="51"/>
  <c r="Z3" i="66"/>
  <c r="DA4" i="66" s="1"/>
  <c r="DA28" i="66" s="1"/>
  <c r="Y3" i="66"/>
  <c r="CZ4" i="66" s="1"/>
  <c r="CZ28" i="66" s="1"/>
  <c r="CZ48" i="66" s="1"/>
  <c r="W3" i="66"/>
  <c r="X3" i="66"/>
  <c r="CY4" i="66" s="1"/>
  <c r="CY28" i="66" s="1"/>
  <c r="CY48" i="66" s="1"/>
  <c r="AA3" i="66"/>
  <c r="DB4" i="66" s="1"/>
  <c r="Y2" i="66"/>
  <c r="CZ3" i="66" s="1"/>
  <c r="CZ27" i="66" s="1"/>
  <c r="CZ47" i="66" s="1"/>
  <c r="X2" i="66"/>
  <c r="CY3" i="66" s="1"/>
  <c r="CY27" i="66" s="1"/>
  <c r="CY47" i="66" s="1"/>
  <c r="AA2" i="66"/>
  <c r="DB3" i="66" s="1"/>
  <c r="W2" i="66"/>
  <c r="Z2" i="66"/>
  <c r="DA3" i="66" s="1"/>
  <c r="DA27" i="66" s="1"/>
  <c r="AA7" i="66"/>
  <c r="DB8" i="66" s="1"/>
  <c r="Y7" i="66"/>
  <c r="CZ8" i="66" s="1"/>
  <c r="CZ32" i="66" s="1"/>
  <c r="CZ52" i="66" s="1"/>
  <c r="W7" i="66"/>
  <c r="FN29" i="66"/>
  <c r="FQ29" i="66"/>
  <c r="FS29" i="66" s="1"/>
  <c r="X4" i="66"/>
  <c r="CY5" i="66" s="1"/>
  <c r="CY29" i="66" s="1"/>
  <c r="CY49" i="66" s="1"/>
  <c r="Z4" i="66"/>
  <c r="DA5" i="66" s="1"/>
  <c r="DA29" i="66" s="1"/>
  <c r="AA4" i="66"/>
  <c r="DB5" i="66" s="1"/>
  <c r="Y4" i="66"/>
  <c r="CZ5" i="66" s="1"/>
  <c r="CZ29" i="66" s="1"/>
  <c r="CZ49" i="66" s="1"/>
  <c r="W4" i="66"/>
  <c r="GI13" i="10"/>
  <c r="GI6" i="10"/>
  <c r="AM6" i="66"/>
  <c r="CY15" i="66" s="1"/>
  <c r="CY39" i="66" s="1"/>
  <c r="CY59" i="66" s="1"/>
  <c r="AO6" i="66"/>
  <c r="DA15" i="66" s="1"/>
  <c r="DA39" i="66" s="1"/>
  <c r="FE46" i="66"/>
  <c r="FE28" i="66" s="1"/>
  <c r="FK28" i="66" s="1"/>
  <c r="AM7" i="66"/>
  <c r="CY16" i="66" s="1"/>
  <c r="CY40" i="66" s="1"/>
  <c r="CY60" i="66" s="1"/>
  <c r="AO7" i="66"/>
  <c r="DA16" i="66" s="1"/>
  <c r="DA40" i="66" s="1"/>
  <c r="BK15" i="51"/>
  <c r="Z3" i="51"/>
  <c r="AA6" i="66"/>
  <c r="DB7" i="66" s="1"/>
  <c r="Y6" i="66"/>
  <c r="CZ7" i="66" s="1"/>
  <c r="CZ31" i="66" s="1"/>
  <c r="CZ51" i="66" s="1"/>
  <c r="W6" i="66"/>
  <c r="AN3" i="66"/>
  <c r="CZ12" i="66" s="1"/>
  <c r="CZ36" i="66" s="1"/>
  <c r="CZ56" i="66" s="1"/>
  <c r="AM3" i="66"/>
  <c r="CY12" i="66" s="1"/>
  <c r="CY36" i="66" s="1"/>
  <c r="CY56" i="66" s="1"/>
  <c r="AP3" i="66"/>
  <c r="DB12" i="66" s="1"/>
  <c r="AL3" i="66"/>
  <c r="AO3" i="66"/>
  <c r="DA12" i="66" s="1"/>
  <c r="DA36" i="66" s="1"/>
  <c r="CX34" i="66"/>
  <c r="GQ10" i="66"/>
  <c r="GR10" i="66" s="1"/>
  <c r="DC10" i="66"/>
  <c r="DJ10" i="66"/>
  <c r="DK10" i="66" s="1"/>
  <c r="DF10" i="66"/>
  <c r="DG10" i="66" s="1"/>
  <c r="DD10" i="66"/>
  <c r="DE10" i="66" s="1"/>
  <c r="DH10" i="66"/>
  <c r="DI10" i="66" s="1"/>
  <c r="FP40" i="66"/>
  <c r="FQ40" i="66"/>
  <c r="FQ39" i="66"/>
  <c r="FP39" i="66"/>
  <c r="GM31" i="66"/>
  <c r="GP33" i="66"/>
  <c r="H24" i="68"/>
  <c r="C24" i="68"/>
  <c r="CW14" i="66"/>
  <c r="KS11" i="66"/>
  <c r="AG5" i="66"/>
  <c r="FX8" i="10"/>
  <c r="FY7" i="10"/>
  <c r="FX6" i="10"/>
  <c r="GD7" i="10"/>
  <c r="FP41" i="66"/>
  <c r="FQ41" i="66"/>
  <c r="FD19" i="66"/>
  <c r="FD18" i="66"/>
  <c r="FD17" i="66"/>
  <c r="FD20" i="66"/>
  <c r="FD15" i="66"/>
  <c r="FD11" i="66"/>
  <c r="FD16" i="66"/>
  <c r="FD12" i="66"/>
  <c r="FD8" i="66"/>
  <c r="FD5" i="66"/>
  <c r="FD13" i="66"/>
  <c r="FD9" i="66"/>
  <c r="FD6" i="66"/>
  <c r="FD10" i="66"/>
  <c r="FD7" i="66"/>
  <c r="FD3" i="66"/>
  <c r="FD4" i="66"/>
  <c r="FQ36" i="66"/>
  <c r="FP36" i="66"/>
  <c r="GP28" i="66"/>
  <c r="GM26" i="66"/>
  <c r="FE51" i="66"/>
  <c r="FE33" i="66" s="1"/>
  <c r="FM33" i="66" s="1"/>
  <c r="FE60" i="66"/>
  <c r="FE42" i="66" s="1"/>
  <c r="FK42" i="66" s="1"/>
  <c r="FE59" i="66"/>
  <c r="FE41" i="66" s="1"/>
  <c r="FL41" i="66" s="1"/>
  <c r="FC20" i="66"/>
  <c r="FM20" i="66" s="1"/>
  <c r="GK27" i="66"/>
  <c r="FC16" i="66"/>
  <c r="FC19" i="66"/>
  <c r="FM19" i="66" s="1"/>
  <c r="FC18" i="66"/>
  <c r="FC15" i="66"/>
  <c r="FC11" i="66"/>
  <c r="FC10" i="66"/>
  <c r="FC7" i="66"/>
  <c r="FC17" i="66"/>
  <c r="FC12" i="66"/>
  <c r="FC13" i="66"/>
  <c r="FC9" i="66"/>
  <c r="FC4" i="66"/>
  <c r="FC6" i="66"/>
  <c r="FC8" i="66"/>
  <c r="FC5" i="66"/>
  <c r="FC3" i="66"/>
  <c r="H20" i="68"/>
  <c r="C20" i="68"/>
  <c r="H18" i="68"/>
  <c r="C18" i="68"/>
  <c r="FS35" i="66"/>
  <c r="H14" i="68"/>
  <c r="C14" i="68"/>
  <c r="H11" i="68"/>
  <c r="C11" i="68"/>
  <c r="H7" i="68"/>
  <c r="C7" i="68"/>
  <c r="H8" i="68"/>
  <c r="C8" i="68"/>
  <c r="GB17" i="10"/>
  <c r="CX50" i="66"/>
  <c r="DJ30" i="66"/>
  <c r="DK30" i="66" s="1"/>
  <c r="DF30" i="66"/>
  <c r="DG30" i="66" s="1"/>
  <c r="DH30" i="66"/>
  <c r="DI30" i="66" s="1"/>
  <c r="DD30" i="66"/>
  <c r="DE30" i="66" s="1"/>
  <c r="DC30" i="66"/>
  <c r="FV13" i="10"/>
  <c r="GF5" i="10"/>
  <c r="GC5" i="10"/>
  <c r="FQ43" i="66"/>
  <c r="FP43" i="66"/>
  <c r="FQ33" i="66"/>
  <c r="FP33" i="66"/>
  <c r="FS33" i="66" s="1"/>
  <c r="FE54" i="66"/>
  <c r="FE36" i="66" s="1"/>
  <c r="FL36" i="66" s="1"/>
  <c r="FE50" i="66"/>
  <c r="FE32" i="66" s="1"/>
  <c r="FK32" i="66" s="1"/>
  <c r="H10" i="68"/>
  <c r="C10" i="68"/>
  <c r="FT22" i="10"/>
  <c r="FP44" i="66"/>
  <c r="FQ44" i="66"/>
  <c r="GL31" i="66"/>
  <c r="GP32" i="66"/>
  <c r="FQ32" i="66"/>
  <c r="FP32" i="66"/>
  <c r="FE57" i="66"/>
  <c r="FE39" i="66" s="1"/>
  <c r="FN39" i="66" s="1"/>
  <c r="FE55" i="66"/>
  <c r="FE37" i="66" s="1"/>
  <c r="FL37" i="66" s="1"/>
  <c r="FE61" i="66"/>
  <c r="FE43" i="66" s="1"/>
  <c r="FH43" i="66" s="1"/>
  <c r="GP30" i="66"/>
  <c r="GO26" i="66"/>
  <c r="FP31" i="66"/>
  <c r="FQ31" i="66"/>
  <c r="H23" i="68"/>
  <c r="C23" i="68"/>
  <c r="H17" i="68"/>
  <c r="C17" i="68"/>
  <c r="H15" i="68"/>
  <c r="C15" i="68"/>
  <c r="I12" i="68"/>
  <c r="G12" i="68"/>
  <c r="CX15" i="66"/>
  <c r="AQ6" i="66"/>
  <c r="CA24" i="66" s="1"/>
  <c r="AN8" i="66"/>
  <c r="CZ17" i="66" s="1"/>
  <c r="CZ41" i="66" s="1"/>
  <c r="CZ61" i="66" s="1"/>
  <c r="AP8" i="66"/>
  <c r="DB17" i="66" s="1"/>
  <c r="AL8" i="66"/>
  <c r="AO8" i="66"/>
  <c r="DA17" i="66" s="1"/>
  <c r="DA41" i="66" s="1"/>
  <c r="AM8" i="66"/>
  <c r="CY17" i="66" s="1"/>
  <c r="CY41" i="66" s="1"/>
  <c r="CY61" i="66" s="1"/>
  <c r="FY17" i="10"/>
  <c r="GH13" i="10"/>
  <c r="GI17" i="10"/>
  <c r="GD17" i="10"/>
  <c r="GH4" i="10"/>
  <c r="CX13" i="66"/>
  <c r="AQ4" i="66"/>
  <c r="CA22" i="66" s="1"/>
  <c r="FE52" i="66"/>
  <c r="FE34" i="66" s="1"/>
  <c r="FM34" i="66" s="1"/>
  <c r="FE58" i="66"/>
  <c r="FE40" i="66" s="1"/>
  <c r="FL40" i="66" s="1"/>
  <c r="FT7" i="10"/>
  <c r="FX3" i="10"/>
  <c r="GG7" i="10"/>
  <c r="FX16" i="10"/>
  <c r="FQ42" i="66"/>
  <c r="FP42" i="66"/>
  <c r="GP35" i="66"/>
  <c r="GO31" i="66"/>
  <c r="FQ37" i="66"/>
  <c r="FP37" i="66"/>
  <c r="FN37" i="66"/>
  <c r="FE49" i="66"/>
  <c r="FE31" i="66" s="1"/>
  <c r="FM31" i="66" s="1"/>
  <c r="FE53" i="66"/>
  <c r="FE35" i="66" s="1"/>
  <c r="FN35" i="66" s="1"/>
  <c r="FE62" i="66"/>
  <c r="FE44" i="66" s="1"/>
  <c r="FH44" i="66" s="1"/>
  <c r="FQ34" i="66"/>
  <c r="FP34" i="66"/>
  <c r="H21" i="68"/>
  <c r="C21" i="68"/>
  <c r="H19" i="68"/>
  <c r="C19" i="68"/>
  <c r="H22" i="68"/>
  <c r="C22" i="68"/>
  <c r="H16" i="68"/>
  <c r="C16" i="68"/>
  <c r="H13" i="68"/>
  <c r="C13" i="68"/>
  <c r="H12" i="68"/>
  <c r="C12" i="68"/>
  <c r="H9" i="68"/>
  <c r="C9" i="68"/>
  <c r="CX18" i="66"/>
  <c r="AQ9" i="66"/>
  <c r="CA27" i="66" s="1"/>
  <c r="Z8" i="66"/>
  <c r="DA9" i="66" s="1"/>
  <c r="DA33" i="66" s="1"/>
  <c r="X8" i="66"/>
  <c r="CY9" i="66" s="1"/>
  <c r="CY33" i="66" s="1"/>
  <c r="CY53" i="66" s="1"/>
  <c r="AA8" i="66"/>
  <c r="DB9" i="66" s="1"/>
  <c r="Y8" i="66"/>
  <c r="CZ9" i="66" s="1"/>
  <c r="CZ33" i="66" s="1"/>
  <c r="CZ53" i="66" s="1"/>
  <c r="W8" i="66"/>
  <c r="CX38" i="66"/>
  <c r="DH14" i="66"/>
  <c r="DI14" i="66" s="1"/>
  <c r="DD14" i="66"/>
  <c r="DE14" i="66" s="1"/>
  <c r="GQ14" i="66"/>
  <c r="GR14" i="66" s="1"/>
  <c r="DC14" i="66"/>
  <c r="DJ14" i="66"/>
  <c r="DK14" i="66" s="1"/>
  <c r="DF14" i="66"/>
  <c r="DG14" i="66" s="1"/>
  <c r="CX16" i="66"/>
  <c r="AQ7" i="66"/>
  <c r="CA25" i="66" s="1"/>
  <c r="FC89" i="66"/>
  <c r="FC69" i="66"/>
  <c r="FC30" i="66"/>
  <c r="FH30" i="66" s="1"/>
  <c r="DN6" i="66"/>
  <c r="FM6" i="66"/>
  <c r="FX17" i="10"/>
  <c r="CU14" i="10"/>
  <c r="DM14" i="10" s="1"/>
  <c r="CW38" i="10"/>
  <c r="FB14" i="10"/>
  <c r="CV14" i="10"/>
  <c r="IN27" i="10"/>
  <c r="IN29" i="10"/>
  <c r="AQ7" i="10"/>
  <c r="CA25" i="10" s="1"/>
  <c r="IN28" i="10"/>
  <c r="IQ29" i="10" s="1"/>
  <c r="E35" i="52" s="1"/>
  <c r="IQ27" i="10"/>
  <c r="C35" i="52" s="1"/>
  <c r="AQ5" i="10"/>
  <c r="CA23" i="10" s="1"/>
  <c r="HA87" i="10"/>
  <c r="DD14" i="10"/>
  <c r="DE14" i="10" s="1"/>
  <c r="BY8" i="10"/>
  <c r="IN24" i="10"/>
  <c r="IN23" i="10"/>
  <c r="IN22" i="10"/>
  <c r="BV8" i="10"/>
  <c r="BW8" i="10"/>
  <c r="IN20" i="10"/>
  <c r="IN17" i="10"/>
  <c r="IN19" i="10"/>
  <c r="IN18" i="10"/>
  <c r="DF12" i="10"/>
  <c r="DG12" i="10" s="1"/>
  <c r="DC12" i="10"/>
  <c r="DH12" i="10"/>
  <c r="DI12" i="10" s="1"/>
  <c r="GQ12" i="10"/>
  <c r="GR12" i="10" s="1"/>
  <c r="DD12" i="10"/>
  <c r="DE12" i="10" s="1"/>
  <c r="AQ3" i="10"/>
  <c r="CA21" i="10" s="1"/>
  <c r="IN12" i="10"/>
  <c r="IN15" i="10"/>
  <c r="IN14" i="10"/>
  <c r="IN13" i="10"/>
  <c r="BR8" i="10"/>
  <c r="GZ73" i="10"/>
  <c r="HA73" i="10" s="1"/>
  <c r="ID49" i="10"/>
  <c r="IG48" i="10"/>
  <c r="D30" i="52" s="1"/>
  <c r="ID48" i="10"/>
  <c r="IG50" i="10" s="1"/>
  <c r="F30" i="52" s="1"/>
  <c r="ID50" i="10"/>
  <c r="HZ51" i="10"/>
  <c r="IE51" i="10" s="1"/>
  <c r="IG51" i="10" s="1"/>
  <c r="G30" i="52" s="1"/>
  <c r="IG43" i="10"/>
  <c r="D29" i="52" s="1"/>
  <c r="ID44" i="10"/>
  <c r="ID43" i="10"/>
  <c r="IG42" i="10" s="1"/>
  <c r="C29" i="52" s="1"/>
  <c r="ID45" i="10"/>
  <c r="ID37" i="10"/>
  <c r="ID38" i="10"/>
  <c r="ID40" i="10"/>
  <c r="GQ14" i="10"/>
  <c r="GR14" i="10" s="1"/>
  <c r="DJ38" i="10"/>
  <c r="DK38" i="10" s="1"/>
  <c r="DF14" i="10"/>
  <c r="DG14" i="10" s="1"/>
  <c r="GQ9" i="10"/>
  <c r="GR9" i="10" s="1"/>
  <c r="DC9" i="10"/>
  <c r="FC33" i="10" s="1"/>
  <c r="DC14" i="10"/>
  <c r="DH14" i="10"/>
  <c r="DI14" i="10" s="1"/>
  <c r="IG35" i="10"/>
  <c r="F27" i="52" s="1"/>
  <c r="IG32" i="10"/>
  <c r="C27" i="52" s="1"/>
  <c r="IG34" i="10"/>
  <c r="E27" i="52" s="1"/>
  <c r="IG33" i="10"/>
  <c r="D27" i="52" s="1"/>
  <c r="DD6" i="10"/>
  <c r="DE6" i="10" s="1"/>
  <c r="GQ6" i="10"/>
  <c r="GR6" i="10" s="1"/>
  <c r="DH6" i="10"/>
  <c r="DI6" i="10" s="1"/>
  <c r="DF6" i="10"/>
  <c r="DG6" i="10" s="1"/>
  <c r="AB5" i="10"/>
  <c r="CA15" i="10" s="1"/>
  <c r="FC30" i="10"/>
  <c r="ID28" i="10"/>
  <c r="FC89" i="10"/>
  <c r="ID27" i="10"/>
  <c r="ID30" i="10"/>
  <c r="ID29" i="10"/>
  <c r="BT8" i="10"/>
  <c r="ID25" i="10"/>
  <c r="BQ8" i="10"/>
  <c r="ID22" i="10"/>
  <c r="ID23" i="10"/>
  <c r="ID20" i="10"/>
  <c r="BS8" i="10"/>
  <c r="ID17" i="10"/>
  <c r="ID18" i="10"/>
  <c r="ID19" i="10"/>
  <c r="ID14" i="10"/>
  <c r="GZ44" i="10"/>
  <c r="HA44" i="10" s="1"/>
  <c r="ID15" i="10"/>
  <c r="ID13" i="10"/>
  <c r="ID12" i="10"/>
  <c r="HT48" i="10"/>
  <c r="HA35" i="10"/>
  <c r="HT50" i="10"/>
  <c r="HT47" i="10"/>
  <c r="HT49" i="10"/>
  <c r="BA5" i="10"/>
  <c r="HT42" i="10"/>
  <c r="BA2" i="10"/>
  <c r="HT45" i="10"/>
  <c r="HT43" i="10"/>
  <c r="HT37" i="10"/>
  <c r="HT38" i="10"/>
  <c r="HT39" i="10"/>
  <c r="HW38" i="10"/>
  <c r="D18" i="52" s="1"/>
  <c r="HW37" i="10"/>
  <c r="C18" i="52" s="1"/>
  <c r="HW39" i="10"/>
  <c r="E18" i="52" s="1"/>
  <c r="HT40" i="10"/>
  <c r="HW40" i="10" s="1"/>
  <c r="F18" i="52" s="1"/>
  <c r="HT32" i="10"/>
  <c r="HW33" i="10" s="1"/>
  <c r="D17" i="52" s="1"/>
  <c r="HT35" i="10"/>
  <c r="HT34" i="10"/>
  <c r="HT33" i="10"/>
  <c r="DD18" i="10"/>
  <c r="DE18" i="10" s="1"/>
  <c r="DJ18" i="10"/>
  <c r="DK18" i="10" s="1"/>
  <c r="AQ9" i="10"/>
  <c r="CA27" i="10" s="1"/>
  <c r="CX17" i="10"/>
  <c r="AQ8" i="10"/>
  <c r="CA26" i="10" s="1"/>
  <c r="CX15" i="10"/>
  <c r="AQ6" i="10"/>
  <c r="CA24" i="10" s="1"/>
  <c r="HW27" i="10"/>
  <c r="C15" i="52" s="1"/>
  <c r="DH16" i="10"/>
  <c r="DI16" i="10" s="1"/>
  <c r="DD16" i="10"/>
  <c r="DE16" i="10" s="1"/>
  <c r="GQ16" i="10"/>
  <c r="GR16" i="10" s="1"/>
  <c r="DC16" i="10"/>
  <c r="CX40" i="10"/>
  <c r="DJ16" i="10"/>
  <c r="DK16" i="10" s="1"/>
  <c r="DF16" i="10"/>
  <c r="DG16" i="10" s="1"/>
  <c r="DC42" i="10"/>
  <c r="DH42" i="10"/>
  <c r="DI42" i="10" s="1"/>
  <c r="CX62" i="10"/>
  <c r="DJ42" i="10"/>
  <c r="DK42" i="10" s="1"/>
  <c r="DF42" i="10"/>
  <c r="DG42" i="10" s="1"/>
  <c r="DD42" i="10"/>
  <c r="DE42" i="10" s="1"/>
  <c r="HT29" i="10"/>
  <c r="HT30" i="10"/>
  <c r="FC101" i="10"/>
  <c r="FC42" i="10"/>
  <c r="HT28" i="10"/>
  <c r="HW29" i="10" s="1"/>
  <c r="E15" i="52" s="1"/>
  <c r="HT24" i="10"/>
  <c r="HT25" i="10"/>
  <c r="DH58" i="10"/>
  <c r="DI58" i="10" s="1"/>
  <c r="DD58" i="10"/>
  <c r="DE58" i="10" s="1"/>
  <c r="DC58" i="10"/>
  <c r="DJ58" i="10"/>
  <c r="DK58" i="10" s="1"/>
  <c r="DF58" i="10"/>
  <c r="DG58" i="10" s="1"/>
  <c r="DN12" i="10"/>
  <c r="FC95" i="10"/>
  <c r="FC36" i="10"/>
  <c r="CX11" i="10"/>
  <c r="AQ2" i="10"/>
  <c r="CA20" i="10" s="1"/>
  <c r="FC96" i="10"/>
  <c r="FC37" i="10"/>
  <c r="DN13" i="10"/>
  <c r="CX57" i="10"/>
  <c r="DH37" i="10"/>
  <c r="DI37" i="10" s="1"/>
  <c r="DD37" i="10"/>
  <c r="DE37" i="10" s="1"/>
  <c r="DC37" i="10"/>
  <c r="DF37" i="10"/>
  <c r="DG37" i="10" s="1"/>
  <c r="DJ37" i="10"/>
  <c r="DK37" i="10" s="1"/>
  <c r="HT23" i="10"/>
  <c r="DN38" i="10"/>
  <c r="FC97" i="10"/>
  <c r="FC38" i="10"/>
  <c r="DC36" i="10"/>
  <c r="CX56" i="10"/>
  <c r="DJ36" i="10"/>
  <c r="DK36" i="10" s="1"/>
  <c r="DF36" i="10"/>
  <c r="DG36" i="10" s="1"/>
  <c r="DD36" i="10"/>
  <c r="DE36" i="10" s="1"/>
  <c r="DH36" i="10"/>
  <c r="DI36" i="10" s="1"/>
  <c r="HT22" i="10"/>
  <c r="DD9" i="10"/>
  <c r="DE9" i="10" s="1"/>
  <c r="DJ9" i="10"/>
  <c r="DK9" i="10" s="1"/>
  <c r="AB8" i="10"/>
  <c r="CA18" i="10" s="1"/>
  <c r="DH9" i="10"/>
  <c r="DI9" i="10" s="1"/>
  <c r="AY5" i="10"/>
  <c r="BO9" i="10"/>
  <c r="BT9" i="10" s="1"/>
  <c r="BY9" i="10" s="1"/>
  <c r="AW5" i="10" s="1"/>
  <c r="HT18" i="10"/>
  <c r="CX7" i="10"/>
  <c r="AB6" i="10"/>
  <c r="CA16" i="10" s="1"/>
  <c r="DJ33" i="10"/>
  <c r="DK33" i="10" s="1"/>
  <c r="DF33" i="10"/>
  <c r="DG33" i="10" s="1"/>
  <c r="DH33" i="10"/>
  <c r="DI33" i="10" s="1"/>
  <c r="DD33" i="10"/>
  <c r="DE33" i="10" s="1"/>
  <c r="CX53" i="10"/>
  <c r="DC33" i="10"/>
  <c r="BC3" i="10"/>
  <c r="AY2" i="10"/>
  <c r="HW19" i="10"/>
  <c r="E13" i="52" s="1"/>
  <c r="HW17" i="10"/>
  <c r="C13" i="52" s="1"/>
  <c r="HT20" i="10"/>
  <c r="BO8" i="10"/>
  <c r="BC5" i="10"/>
  <c r="HC18" i="10"/>
  <c r="GZ18" i="10"/>
  <c r="HA18" i="10" s="1"/>
  <c r="AB9" i="10"/>
  <c r="CA19" i="10" s="1"/>
  <c r="CX10" i="10"/>
  <c r="HT19" i="10"/>
  <c r="DH8" i="10"/>
  <c r="DI8" i="10" s="1"/>
  <c r="DD8" i="10"/>
  <c r="DE8" i="10" s="1"/>
  <c r="GQ8" i="10"/>
  <c r="GR8" i="10" s="1"/>
  <c r="DC8" i="10"/>
  <c r="CX32" i="10"/>
  <c r="DJ8" i="10"/>
  <c r="DK8" i="10" s="1"/>
  <c r="DF8" i="10"/>
  <c r="DG8" i="10" s="1"/>
  <c r="HT12" i="10"/>
  <c r="BL8" i="10"/>
  <c r="BN9" i="10"/>
  <c r="BS9" i="10" s="1"/>
  <c r="BX9" i="10" s="1"/>
  <c r="AW4" i="10" s="1"/>
  <c r="BN8" i="10"/>
  <c r="BC4" i="10"/>
  <c r="BA4" i="10"/>
  <c r="AY4" i="10"/>
  <c r="DJ48" i="10"/>
  <c r="DK48" i="10" s="1"/>
  <c r="DH28" i="10"/>
  <c r="DI28" i="10" s="1"/>
  <c r="BM8" i="10"/>
  <c r="BW7" i="10" s="1"/>
  <c r="BA3" i="10"/>
  <c r="BM9" i="10"/>
  <c r="BR9" i="10" s="1"/>
  <c r="BW9" i="10" s="1"/>
  <c r="AW3" i="10" s="1"/>
  <c r="AY3" i="10"/>
  <c r="DC48" i="10"/>
  <c r="DC28" i="10"/>
  <c r="HL12" i="10"/>
  <c r="AN10" i="10" s="1"/>
  <c r="CZ20" i="10" s="1"/>
  <c r="CZ44" i="10" s="1"/>
  <c r="CZ64" i="10" s="1"/>
  <c r="DF28" i="10"/>
  <c r="DG28" i="10" s="1"/>
  <c r="BL9" i="10"/>
  <c r="BQ9" i="10" s="1"/>
  <c r="BV9" i="10" s="1"/>
  <c r="AW2" i="10" s="1"/>
  <c r="BC2" i="10"/>
  <c r="CX50" i="10"/>
  <c r="DJ30" i="10"/>
  <c r="DK30" i="10" s="1"/>
  <c r="DF30" i="10"/>
  <c r="DG30" i="10" s="1"/>
  <c r="DH30" i="10"/>
  <c r="DI30" i="10" s="1"/>
  <c r="DD30" i="10"/>
  <c r="DE30" i="10" s="1"/>
  <c r="DC30" i="10"/>
  <c r="DH29" i="10"/>
  <c r="DI29" i="10" s="1"/>
  <c r="DD29" i="10"/>
  <c r="DE29" i="10" s="1"/>
  <c r="DC29" i="10"/>
  <c r="DJ29" i="10"/>
  <c r="DK29" i="10" s="1"/>
  <c r="CX49" i="10"/>
  <c r="DF29" i="10"/>
  <c r="DG29" i="10" s="1"/>
  <c r="FC88" i="10"/>
  <c r="FC29" i="10"/>
  <c r="DN5" i="10"/>
  <c r="HW15" i="10"/>
  <c r="F12" i="52" s="1"/>
  <c r="HW13" i="10"/>
  <c r="D12" i="52" s="1"/>
  <c r="HW14" i="10"/>
  <c r="E12" i="52" s="1"/>
  <c r="HW12" i="10"/>
  <c r="C12" i="52" s="1"/>
  <c r="FC87" i="10"/>
  <c r="FC28" i="10"/>
  <c r="DN4" i="10"/>
  <c r="FC86" i="10"/>
  <c r="FC27" i="10"/>
  <c r="DN3" i="10"/>
  <c r="DC27" i="10"/>
  <c r="CX47" i="10"/>
  <c r="DF27" i="10"/>
  <c r="DG27" i="10" s="1"/>
  <c r="DJ27" i="10"/>
  <c r="DK27" i="10" s="1"/>
  <c r="DD27" i="10"/>
  <c r="DE27" i="10" s="1"/>
  <c r="DH27" i="10"/>
  <c r="DI27" i="10" s="1"/>
  <c r="IQ38" i="10" l="1"/>
  <c r="D37" i="52" s="1"/>
  <c r="IQ40" i="10"/>
  <c r="F37" i="52" s="1"/>
  <c r="FK31" i="66"/>
  <c r="FK37" i="66"/>
  <c r="FL31" i="66"/>
  <c r="FM37" i="66"/>
  <c r="FL32" i="66"/>
  <c r="FN34" i="66"/>
  <c r="FK35" i="66"/>
  <c r="FK43" i="66"/>
  <c r="FS43" i="66"/>
  <c r="FK36" i="66"/>
  <c r="FS41" i="66"/>
  <c r="AB7" i="66"/>
  <c r="CA17" i="66" s="1"/>
  <c r="CX8" i="66"/>
  <c r="CX3" i="66"/>
  <c r="AB2" i="66"/>
  <c r="CA12" i="66" s="1"/>
  <c r="CX11" i="66"/>
  <c r="AQ2" i="66"/>
  <c r="CA20" i="66" s="1"/>
  <c r="FL35" i="66"/>
  <c r="FK40" i="66"/>
  <c r="FK34" i="66"/>
  <c r="FM43" i="66"/>
  <c r="FS40" i="66"/>
  <c r="CX5" i="66"/>
  <c r="AB4" i="66"/>
  <c r="CA14" i="66" s="1"/>
  <c r="FM40" i="66"/>
  <c r="FL34" i="66"/>
  <c r="FK39" i="66"/>
  <c r="FN43" i="66"/>
  <c r="FN40" i="66"/>
  <c r="CX4" i="66"/>
  <c r="AB3" i="66"/>
  <c r="CA13" i="66" s="1"/>
  <c r="FM44" i="66"/>
  <c r="FS42" i="66"/>
  <c r="FM39" i="66"/>
  <c r="FN44" i="66"/>
  <c r="CX12" i="66"/>
  <c r="AQ3" i="66"/>
  <c r="CA21" i="66" s="1"/>
  <c r="AB6" i="66"/>
  <c r="CA16" i="66" s="1"/>
  <c r="CX7" i="66"/>
  <c r="FM28" i="66"/>
  <c r="FN28" i="66"/>
  <c r="FL28" i="66"/>
  <c r="FX38" i="10"/>
  <c r="DM58" i="10"/>
  <c r="DM38" i="10"/>
  <c r="FA14" i="10"/>
  <c r="CV38" i="10"/>
  <c r="AB8" i="66"/>
  <c r="CA18" i="66" s="1"/>
  <c r="CX9" i="66"/>
  <c r="FK44" i="66"/>
  <c r="CX37" i="66"/>
  <c r="DJ13" i="66"/>
  <c r="DK13" i="66" s="1"/>
  <c r="DF13" i="66"/>
  <c r="DG13" i="66" s="1"/>
  <c r="DH13" i="66"/>
  <c r="DI13" i="66" s="1"/>
  <c r="DD13" i="66"/>
  <c r="DE13" i="66" s="1"/>
  <c r="GQ13" i="66"/>
  <c r="GR13" i="66" s="1"/>
  <c r="DC13" i="66"/>
  <c r="FN31" i="66"/>
  <c r="FN32" i="66"/>
  <c r="FM32" i="66"/>
  <c r="FM36" i="66"/>
  <c r="DN30" i="66"/>
  <c r="FK41" i="66"/>
  <c r="FL42" i="66"/>
  <c r="FK33" i="66"/>
  <c r="FN36" i="66"/>
  <c r="FG19" i="66"/>
  <c r="FI19" i="66" s="1"/>
  <c r="CW38" i="66"/>
  <c r="D38" i="66"/>
  <c r="HO44" i="66" s="1"/>
  <c r="HU44" i="66" s="1"/>
  <c r="S31" i="66"/>
  <c r="HY35" i="66" s="1"/>
  <c r="IE35" i="66" s="1"/>
  <c r="AH16" i="66"/>
  <c r="II17" i="66" s="1"/>
  <c r="IO17" i="66" s="1"/>
  <c r="S24" i="66"/>
  <c r="HY27" i="66" s="1"/>
  <c r="IE27" i="66" s="1"/>
  <c r="D17" i="66"/>
  <c r="HO18" i="66" s="1"/>
  <c r="HU18" i="66" s="1"/>
  <c r="CV14" i="66"/>
  <c r="CU14" i="66"/>
  <c r="DM14" i="66" s="1"/>
  <c r="FB14" i="66"/>
  <c r="FC93" i="66"/>
  <c r="FC73" i="66"/>
  <c r="FC34" i="66"/>
  <c r="FH34" i="66" s="1"/>
  <c r="FM10" i="66"/>
  <c r="DN10" i="66"/>
  <c r="CX17" i="66"/>
  <c r="AQ8" i="66"/>
  <c r="CA26" i="66" s="1"/>
  <c r="FS31" i="66"/>
  <c r="FS32" i="66"/>
  <c r="FN33" i="66"/>
  <c r="DH50" i="66"/>
  <c r="DI50" i="66" s="1"/>
  <c r="DD50" i="66"/>
  <c r="DE50" i="66" s="1"/>
  <c r="DC50" i="66"/>
  <c r="DJ50" i="66"/>
  <c r="DK50" i="66" s="1"/>
  <c r="DF50" i="66"/>
  <c r="DG50" i="66" s="1"/>
  <c r="FM41" i="66"/>
  <c r="FM42" i="66"/>
  <c r="FL33" i="66"/>
  <c r="FG20" i="66"/>
  <c r="FN41" i="66"/>
  <c r="FS39" i="66"/>
  <c r="CX40" i="66"/>
  <c r="GQ16" i="66"/>
  <c r="GR16" i="66" s="1"/>
  <c r="DC16" i="66"/>
  <c r="DJ16" i="66"/>
  <c r="DK16" i="66" s="1"/>
  <c r="DH16" i="66"/>
  <c r="DI16" i="66" s="1"/>
  <c r="DF16" i="66"/>
  <c r="DG16" i="66" s="1"/>
  <c r="DD16" i="66"/>
  <c r="DE16" i="66" s="1"/>
  <c r="FC97" i="66"/>
  <c r="FC77" i="66"/>
  <c r="FC38" i="66"/>
  <c r="DN14" i="66"/>
  <c r="CX58" i="66"/>
  <c r="DC38" i="66"/>
  <c r="DJ38" i="66"/>
  <c r="DK38" i="66" s="1"/>
  <c r="DF38" i="66"/>
  <c r="DG38" i="66" s="1"/>
  <c r="DH38" i="66"/>
  <c r="DI38" i="66" s="1"/>
  <c r="DD38" i="66"/>
  <c r="DE38" i="66" s="1"/>
  <c r="FB77" i="10"/>
  <c r="FB97" i="10"/>
  <c r="CW58" i="10"/>
  <c r="FB38" i="10"/>
  <c r="DY6" i="66"/>
  <c r="EP6" i="66" s="1"/>
  <c r="EC6" i="66"/>
  <c r="ET6" i="66" s="1"/>
  <c r="CX42" i="66"/>
  <c r="DH18" i="66"/>
  <c r="DI18" i="66" s="1"/>
  <c r="DD18" i="66"/>
  <c r="DE18" i="66" s="1"/>
  <c r="DJ18" i="66"/>
  <c r="DK18" i="66" s="1"/>
  <c r="DF18" i="66"/>
  <c r="DG18" i="66" s="1"/>
  <c r="GQ18" i="66"/>
  <c r="GR18" i="66" s="1"/>
  <c r="DC18" i="66"/>
  <c r="FS34" i="66"/>
  <c r="FL44" i="66"/>
  <c r="FM35" i="66"/>
  <c r="FS37" i="66"/>
  <c r="FN42" i="66"/>
  <c r="CX39" i="66"/>
  <c r="DH15" i="66"/>
  <c r="DI15" i="66" s="1"/>
  <c r="DD15" i="66"/>
  <c r="DE15" i="66" s="1"/>
  <c r="GQ15" i="66"/>
  <c r="GR15" i="66" s="1"/>
  <c r="DC15" i="66"/>
  <c r="DJ15" i="66"/>
  <c r="DK15" i="66" s="1"/>
  <c r="DF15" i="66"/>
  <c r="DG15" i="66" s="1"/>
  <c r="FL43" i="66"/>
  <c r="FO43" i="66" s="1"/>
  <c r="FL39" i="66"/>
  <c r="FS44" i="66"/>
  <c r="GP27" i="66"/>
  <c r="GL26" i="66"/>
  <c r="FS36" i="66"/>
  <c r="EH38" i="66"/>
  <c r="ET26" i="66"/>
  <c r="EC26" i="66"/>
  <c r="EH14" i="66"/>
  <c r="FS14" i="66"/>
  <c r="FT22" i="66" s="1"/>
  <c r="GE2" i="66"/>
  <c r="ET2" i="66"/>
  <c r="EC2" i="66"/>
  <c r="CX54" i="66"/>
  <c r="DJ34" i="66"/>
  <c r="DK34" i="66" s="1"/>
  <c r="DF34" i="66"/>
  <c r="DG34" i="66" s="1"/>
  <c r="DH34" i="66"/>
  <c r="DI34" i="66" s="1"/>
  <c r="DD34" i="66"/>
  <c r="DE34" i="66" s="1"/>
  <c r="DC34" i="66"/>
  <c r="IQ30" i="10"/>
  <c r="F35" i="52" s="1"/>
  <c r="IQ28" i="10"/>
  <c r="D35" i="52" s="1"/>
  <c r="DN14" i="10"/>
  <c r="IQ25" i="10"/>
  <c r="F34" i="52" s="1"/>
  <c r="IQ22" i="10"/>
  <c r="C34" i="52" s="1"/>
  <c r="IQ24" i="10"/>
  <c r="E34" i="52" s="1"/>
  <c r="IQ23" i="10"/>
  <c r="D34" i="52" s="1"/>
  <c r="FC92" i="10"/>
  <c r="IQ20" i="10"/>
  <c r="F33" i="52" s="1"/>
  <c r="IQ17" i="10"/>
  <c r="C33" i="52" s="1"/>
  <c r="IQ19" i="10"/>
  <c r="E33" i="52" s="1"/>
  <c r="IQ18" i="10"/>
  <c r="D33" i="52" s="1"/>
  <c r="IQ14" i="10"/>
  <c r="E32" i="52" s="1"/>
  <c r="IQ13" i="10"/>
  <c r="D32" i="52" s="1"/>
  <c r="IQ12" i="10"/>
  <c r="C32" i="52" s="1"/>
  <c r="IQ15" i="10"/>
  <c r="F32" i="52" s="1"/>
  <c r="DN6" i="10"/>
  <c r="DU12" i="10" s="1"/>
  <c r="EL12" i="10" s="1"/>
  <c r="IG49" i="10"/>
  <c r="E30" i="52" s="1"/>
  <c r="IG47" i="10"/>
  <c r="C30" i="52" s="1"/>
  <c r="IG45" i="10"/>
  <c r="F29" i="52" s="1"/>
  <c r="IG44" i="10"/>
  <c r="E29" i="52" s="1"/>
  <c r="BY7" i="10"/>
  <c r="IG38" i="10"/>
  <c r="D28" i="52" s="1"/>
  <c r="IG40" i="10"/>
  <c r="F28" i="52" s="1"/>
  <c r="IG37" i="10"/>
  <c r="C28" i="52" s="1"/>
  <c r="IG39" i="10"/>
  <c r="E28" i="52" s="1"/>
  <c r="IG27" i="10"/>
  <c r="C25" i="52" s="1"/>
  <c r="IG29" i="10"/>
  <c r="E25" i="52" s="1"/>
  <c r="IG28" i="10"/>
  <c r="D25" i="52" s="1"/>
  <c r="IG30" i="10"/>
  <c r="F25" i="52" s="1"/>
  <c r="BV7" i="10"/>
  <c r="BX7" i="10"/>
  <c r="IG22" i="10"/>
  <c r="C24" i="52" s="1"/>
  <c r="IG25" i="10"/>
  <c r="F24" i="52" s="1"/>
  <c r="IG23" i="10"/>
  <c r="D24" i="52" s="1"/>
  <c r="IG24" i="10"/>
  <c r="E24" i="52" s="1"/>
  <c r="IG18" i="10"/>
  <c r="D23" i="52" s="1"/>
  <c r="IG17" i="10"/>
  <c r="C23" i="52" s="1"/>
  <c r="IG20" i="10"/>
  <c r="F23" i="52" s="1"/>
  <c r="IG19" i="10"/>
  <c r="E23" i="52" s="1"/>
  <c r="HB12" i="10"/>
  <c r="Z10" i="10" s="1"/>
  <c r="DA19" i="10" s="1"/>
  <c r="DA43" i="10" s="1"/>
  <c r="IG13" i="10"/>
  <c r="D22" i="52" s="1"/>
  <c r="IG12" i="10"/>
  <c r="C22" i="52" s="1"/>
  <c r="IG14" i="10"/>
  <c r="E22" i="52" s="1"/>
  <c r="IG15" i="10"/>
  <c r="F22" i="52" s="1"/>
  <c r="DN18" i="10"/>
  <c r="HW49" i="10"/>
  <c r="E20" i="52" s="1"/>
  <c r="HW47" i="10"/>
  <c r="C20" i="52" s="1"/>
  <c r="HW50" i="10"/>
  <c r="F20" i="52" s="1"/>
  <c r="HW48" i="10"/>
  <c r="D20" i="52" s="1"/>
  <c r="DN9" i="10"/>
  <c r="EA9" i="10" s="1"/>
  <c r="ER9" i="10" s="1"/>
  <c r="HW43" i="10"/>
  <c r="D19" i="52" s="1"/>
  <c r="HW42" i="10"/>
  <c r="C19" i="52" s="1"/>
  <c r="HW45" i="10"/>
  <c r="F19" i="52" s="1"/>
  <c r="HW44" i="10"/>
  <c r="E19" i="52" s="1"/>
  <c r="DN28" i="10"/>
  <c r="DN48" i="10"/>
  <c r="HW34" i="10"/>
  <c r="E17" i="52" s="1"/>
  <c r="HW32" i="10"/>
  <c r="C17" i="52" s="1"/>
  <c r="HW35" i="10"/>
  <c r="F17" i="52" s="1"/>
  <c r="DD15" i="10"/>
  <c r="DE15" i="10" s="1"/>
  <c r="DJ15" i="10"/>
  <c r="DK15" i="10" s="1"/>
  <c r="CX39" i="10"/>
  <c r="GQ15" i="10"/>
  <c r="GR15" i="10" s="1"/>
  <c r="DF15" i="10"/>
  <c r="DG15" i="10" s="1"/>
  <c r="DC15" i="10"/>
  <c r="DH15" i="10"/>
  <c r="DI15" i="10" s="1"/>
  <c r="CX41" i="10"/>
  <c r="DC17" i="10"/>
  <c r="DH17" i="10"/>
  <c r="DI17" i="10" s="1"/>
  <c r="DJ17" i="10"/>
  <c r="DK17" i="10" s="1"/>
  <c r="GQ17" i="10"/>
  <c r="GR17" i="10" s="1"/>
  <c r="DD17" i="10"/>
  <c r="DE17" i="10" s="1"/>
  <c r="DF17" i="10"/>
  <c r="DG17" i="10" s="1"/>
  <c r="DN42" i="10"/>
  <c r="FC40" i="10"/>
  <c r="DN16" i="10"/>
  <c r="EC16" i="10" s="1"/>
  <c r="ET16" i="10" s="1"/>
  <c r="FC99" i="10"/>
  <c r="DH62" i="10"/>
  <c r="DI62" i="10" s="1"/>
  <c r="DD62" i="10"/>
  <c r="DE62" i="10" s="1"/>
  <c r="DJ62" i="10"/>
  <c r="DK62" i="10" s="1"/>
  <c r="DC62" i="10"/>
  <c r="DF62" i="10"/>
  <c r="DG62" i="10" s="1"/>
  <c r="HW28" i="10"/>
  <c r="D15" i="52" s="1"/>
  <c r="HW30" i="10"/>
  <c r="F15" i="52" s="1"/>
  <c r="DJ40" i="10"/>
  <c r="DK40" i="10" s="1"/>
  <c r="DF40" i="10"/>
  <c r="DG40" i="10" s="1"/>
  <c r="CX60" i="10"/>
  <c r="DH40" i="10"/>
  <c r="DI40" i="10" s="1"/>
  <c r="DD40" i="10"/>
  <c r="DE40" i="10" s="1"/>
  <c r="DC40" i="10"/>
  <c r="AP10" i="10"/>
  <c r="DB20" i="10" s="1"/>
  <c r="DN37" i="10"/>
  <c r="DN58" i="10"/>
  <c r="HW24" i="10"/>
  <c r="E14" i="52" s="1"/>
  <c r="HW22" i="10"/>
  <c r="C14" i="52" s="1"/>
  <c r="HW25" i="10"/>
  <c r="F14" i="52" s="1"/>
  <c r="HW23" i="10"/>
  <c r="D14" i="52" s="1"/>
  <c r="EC13" i="10"/>
  <c r="ET13" i="10" s="1"/>
  <c r="EA13" i="10"/>
  <c r="ER13" i="10" s="1"/>
  <c r="DJ11" i="10"/>
  <c r="DK11" i="10" s="1"/>
  <c r="DF11" i="10"/>
  <c r="DG11" i="10" s="1"/>
  <c r="CX35" i="10"/>
  <c r="DH11" i="10"/>
  <c r="DI11" i="10" s="1"/>
  <c r="DD11" i="10"/>
  <c r="DE11" i="10" s="1"/>
  <c r="DC11" i="10"/>
  <c r="GQ11" i="10"/>
  <c r="GR11" i="10" s="1"/>
  <c r="EA14" i="10"/>
  <c r="ER14" i="10" s="1"/>
  <c r="EB14" i="10"/>
  <c r="ES14" i="10" s="1"/>
  <c r="EB12" i="10"/>
  <c r="ES12" i="10" s="1"/>
  <c r="EC12" i="10"/>
  <c r="ET12" i="10" s="1"/>
  <c r="DH56" i="10"/>
  <c r="DI56" i="10" s="1"/>
  <c r="DD56" i="10"/>
  <c r="DE56" i="10" s="1"/>
  <c r="DC56" i="10"/>
  <c r="DJ56" i="10"/>
  <c r="DK56" i="10" s="1"/>
  <c r="DF56" i="10"/>
  <c r="DG56" i="10" s="1"/>
  <c r="DN36" i="10"/>
  <c r="DH57" i="10"/>
  <c r="DI57" i="10" s="1"/>
  <c r="DD57" i="10"/>
  <c r="DE57" i="10" s="1"/>
  <c r="DC57" i="10"/>
  <c r="DJ57" i="10"/>
  <c r="DK57" i="10" s="1"/>
  <c r="DF57" i="10"/>
  <c r="DG57" i="10" s="1"/>
  <c r="HW18" i="10"/>
  <c r="D13" i="52" s="1"/>
  <c r="CA32" i="10"/>
  <c r="HW20" i="10"/>
  <c r="F13" i="52" s="1"/>
  <c r="DJ7" i="10"/>
  <c r="DK7" i="10" s="1"/>
  <c r="DF7" i="10"/>
  <c r="DG7" i="10" s="1"/>
  <c r="GQ7" i="10"/>
  <c r="GR7" i="10" s="1"/>
  <c r="CX31" i="10"/>
  <c r="DH7" i="10"/>
  <c r="DI7" i="10" s="1"/>
  <c r="DD7" i="10"/>
  <c r="DE7" i="10" s="1"/>
  <c r="DC7" i="10"/>
  <c r="DN33" i="10"/>
  <c r="DC10" i="10"/>
  <c r="DJ10" i="10"/>
  <c r="DK10" i="10" s="1"/>
  <c r="DF10" i="10"/>
  <c r="DG10" i="10" s="1"/>
  <c r="CX34" i="10"/>
  <c r="GQ10" i="10"/>
  <c r="GR10" i="10" s="1"/>
  <c r="DD10" i="10"/>
  <c r="DE10" i="10" s="1"/>
  <c r="DH10" i="10"/>
  <c r="DI10" i="10" s="1"/>
  <c r="DC53" i="10"/>
  <c r="DH53" i="10"/>
  <c r="DI53" i="10" s="1"/>
  <c r="DJ53" i="10"/>
  <c r="DK53" i="10" s="1"/>
  <c r="DF53" i="10"/>
  <c r="DG53" i="10" s="1"/>
  <c r="DD53" i="10"/>
  <c r="DE53" i="10" s="1"/>
  <c r="FC32" i="10"/>
  <c r="FC91" i="10"/>
  <c r="DN8" i="10"/>
  <c r="DW3" i="10" s="1"/>
  <c r="EN3" i="10" s="1"/>
  <c r="DJ32" i="10"/>
  <c r="DK32" i="10" s="1"/>
  <c r="CX52" i="10"/>
  <c r="DH32" i="10"/>
  <c r="DI32" i="10" s="1"/>
  <c r="DD32" i="10"/>
  <c r="DE32" i="10" s="1"/>
  <c r="DF32" i="10"/>
  <c r="DG32" i="10" s="1"/>
  <c r="DC32" i="10"/>
  <c r="AM10" i="10"/>
  <c r="CY20" i="10" s="1"/>
  <c r="CY44" i="10" s="1"/>
  <c r="CY64" i="10" s="1"/>
  <c r="AL10" i="10"/>
  <c r="AQ10" i="10" s="1"/>
  <c r="CA29" i="10" s="1"/>
  <c r="AO10" i="10"/>
  <c r="DA20" i="10" s="1"/>
  <c r="DA44" i="10" s="1"/>
  <c r="DN29" i="10"/>
  <c r="DC47" i="10"/>
  <c r="DJ47" i="10"/>
  <c r="DK47" i="10" s="1"/>
  <c r="DF47" i="10"/>
  <c r="DG47" i="10" s="1"/>
  <c r="DH47" i="10"/>
  <c r="DI47" i="10" s="1"/>
  <c r="DD47" i="10"/>
  <c r="DE47" i="10" s="1"/>
  <c r="DN30" i="10"/>
  <c r="DC49" i="10"/>
  <c r="DJ49" i="10"/>
  <c r="DK49" i="10" s="1"/>
  <c r="DF49" i="10"/>
  <c r="DG49" i="10" s="1"/>
  <c r="DH49" i="10"/>
  <c r="DI49" i="10" s="1"/>
  <c r="DD49" i="10"/>
  <c r="DE49" i="10" s="1"/>
  <c r="DC50" i="10"/>
  <c r="DF50" i="10"/>
  <c r="DG50" i="10" s="1"/>
  <c r="DJ50" i="10"/>
  <c r="DK50" i="10" s="1"/>
  <c r="DD50" i="10"/>
  <c r="DE50" i="10" s="1"/>
  <c r="DH50" i="10"/>
  <c r="DI50" i="10" s="1"/>
  <c r="DN27" i="10"/>
  <c r="DR13" i="10"/>
  <c r="EI13" i="10" s="1"/>
  <c r="DR14" i="10"/>
  <c r="EI14" i="10" s="1"/>
  <c r="EA3" i="10"/>
  <c r="ER3" i="10" s="1"/>
  <c r="EC3" i="10"/>
  <c r="ET3" i="10" s="1"/>
  <c r="DR12" i="10"/>
  <c r="EI12" i="10" s="1"/>
  <c r="EB3" i="10"/>
  <c r="ES3" i="10" s="1"/>
  <c r="DT3" i="10"/>
  <c r="EK3" i="10" s="1"/>
  <c r="DS3" i="10"/>
  <c r="EJ3" i="10" s="1"/>
  <c r="DS13" i="10"/>
  <c r="EJ13" i="10" s="1"/>
  <c r="DS12" i="10"/>
  <c r="EJ12" i="10" s="1"/>
  <c r="DS14" i="10"/>
  <c r="EJ14" i="10" s="1"/>
  <c r="EC4" i="10"/>
  <c r="ET4" i="10" s="1"/>
  <c r="EB4" i="10"/>
  <c r="ES4" i="10" s="1"/>
  <c r="DT4" i="10"/>
  <c r="EK4" i="10" s="1"/>
  <c r="EA4" i="10"/>
  <c r="ER4" i="10" s="1"/>
  <c r="DR4" i="10"/>
  <c r="EI4" i="10" s="1"/>
  <c r="EB5" i="10"/>
  <c r="ES5" i="10" s="1"/>
  <c r="DS5" i="10"/>
  <c r="EJ5" i="10" s="1"/>
  <c r="DT14" i="10"/>
  <c r="EK14" i="10" s="1"/>
  <c r="DR5" i="10"/>
  <c r="EI5" i="10" s="1"/>
  <c r="EC5" i="10"/>
  <c r="ET5" i="10" s="1"/>
  <c r="DT13" i="10"/>
  <c r="EK13" i="10" s="1"/>
  <c r="DT12" i="10"/>
  <c r="EK12" i="10" s="1"/>
  <c r="EA5" i="10"/>
  <c r="ER5" i="10" s="1"/>
  <c r="EE5" i="10"/>
  <c r="EV5" i="10" s="1"/>
  <c r="CX28" i="66" l="1"/>
  <c r="DD4" i="66"/>
  <c r="DE4" i="66" s="1"/>
  <c r="DC4" i="66"/>
  <c r="DJ4" i="66"/>
  <c r="DK4" i="66" s="1"/>
  <c r="DH4" i="66"/>
  <c r="DI4" i="66" s="1"/>
  <c r="DF4" i="66"/>
  <c r="DG4" i="66" s="1"/>
  <c r="GQ4" i="66"/>
  <c r="GR4" i="66" s="1"/>
  <c r="DN50" i="66"/>
  <c r="CX27" i="66"/>
  <c r="DD3" i="66"/>
  <c r="DE3" i="66" s="1"/>
  <c r="DJ3" i="66"/>
  <c r="DK3" i="66" s="1"/>
  <c r="GQ3" i="66"/>
  <c r="GR3" i="66" s="1"/>
  <c r="DF3" i="66"/>
  <c r="DG3" i="66" s="1"/>
  <c r="DC3" i="66"/>
  <c r="DH3" i="66"/>
  <c r="DI3" i="66" s="1"/>
  <c r="DH12" i="66"/>
  <c r="DI12" i="66" s="1"/>
  <c r="DJ12" i="66"/>
  <c r="DK12" i="66" s="1"/>
  <c r="DD12" i="66"/>
  <c r="DE12" i="66" s="1"/>
  <c r="DF12" i="66"/>
  <c r="DG12" i="66" s="1"/>
  <c r="GQ12" i="66"/>
  <c r="GR12" i="66" s="1"/>
  <c r="CX36" i="66"/>
  <c r="DC12" i="66"/>
  <c r="CX32" i="66"/>
  <c r="DF8" i="66"/>
  <c r="DG8" i="66" s="1"/>
  <c r="DH8" i="66"/>
  <c r="DI8" i="66" s="1"/>
  <c r="GQ8" i="66"/>
  <c r="GR8" i="66" s="1"/>
  <c r="DD8" i="66"/>
  <c r="DE8" i="66" s="1"/>
  <c r="DC8" i="66"/>
  <c r="DJ8" i="66"/>
  <c r="DK8" i="66" s="1"/>
  <c r="FO44" i="66"/>
  <c r="CX31" i="66"/>
  <c r="DJ7" i="66"/>
  <c r="DK7" i="66" s="1"/>
  <c r="GQ7" i="66"/>
  <c r="GR7" i="66" s="1"/>
  <c r="DH7" i="66"/>
  <c r="DI7" i="66" s="1"/>
  <c r="DC7" i="66"/>
  <c r="DF7" i="66"/>
  <c r="DG7" i="66" s="1"/>
  <c r="DD7" i="66"/>
  <c r="DE7" i="66" s="1"/>
  <c r="CX29" i="66"/>
  <c r="DD5" i="66"/>
  <c r="DE5" i="66" s="1"/>
  <c r="DJ5" i="66"/>
  <c r="DK5" i="66" s="1"/>
  <c r="DH5" i="66"/>
  <c r="DI5" i="66" s="1"/>
  <c r="DF5" i="66"/>
  <c r="DG5" i="66" s="1"/>
  <c r="DC5" i="66"/>
  <c r="GQ5" i="66"/>
  <c r="GR5" i="66" s="1"/>
  <c r="GQ11" i="66"/>
  <c r="GR11" i="66" s="1"/>
  <c r="CX35" i="66"/>
  <c r="DC11" i="66"/>
  <c r="DH11" i="66"/>
  <c r="DI11" i="66" s="1"/>
  <c r="DJ11" i="66"/>
  <c r="DK11" i="66" s="1"/>
  <c r="DD11" i="66"/>
  <c r="DE11" i="66" s="1"/>
  <c r="DF11" i="66"/>
  <c r="DG11" i="66" s="1"/>
  <c r="DJ54" i="66"/>
  <c r="DK54" i="66" s="1"/>
  <c r="DF54" i="66"/>
  <c r="DG54" i="66" s="1"/>
  <c r="DH54" i="66"/>
  <c r="DI54" i="66" s="1"/>
  <c r="DD54" i="66"/>
  <c r="DE54" i="66" s="1"/>
  <c r="DC54" i="66"/>
  <c r="FC101" i="66"/>
  <c r="FC81" i="66"/>
  <c r="FC42" i="66"/>
  <c r="FH42" i="66" s="1"/>
  <c r="DN18" i="66"/>
  <c r="FM18" i="66"/>
  <c r="FB97" i="66"/>
  <c r="FB77" i="66"/>
  <c r="FF14" i="66"/>
  <c r="CW58" i="66"/>
  <c r="FB38" i="66"/>
  <c r="FC96" i="66"/>
  <c r="FC76" i="66"/>
  <c r="FC37" i="66"/>
  <c r="FH37" i="66" s="1"/>
  <c r="DN13" i="66"/>
  <c r="FM13" i="66"/>
  <c r="CV58" i="10"/>
  <c r="FA38" i="10"/>
  <c r="FC99" i="66"/>
  <c r="FC79" i="66"/>
  <c r="FC40" i="66"/>
  <c r="FH40" i="66" s="1"/>
  <c r="FM16" i="66"/>
  <c r="DN16" i="66"/>
  <c r="EE14" i="66" s="1"/>
  <c r="EV14" i="66" s="1"/>
  <c r="CX41" i="66"/>
  <c r="DH17" i="66"/>
  <c r="DI17" i="66" s="1"/>
  <c r="DD17" i="66"/>
  <c r="DE17" i="66" s="1"/>
  <c r="DJ17" i="66"/>
  <c r="DK17" i="66" s="1"/>
  <c r="DF17" i="66"/>
  <c r="DG17" i="66" s="1"/>
  <c r="GQ17" i="66"/>
  <c r="GR17" i="66" s="1"/>
  <c r="DC17" i="66"/>
  <c r="DM58" i="66"/>
  <c r="FX38" i="66"/>
  <c r="DM38" i="66"/>
  <c r="FH19" i="66"/>
  <c r="FJ19" i="66" s="1"/>
  <c r="CX33" i="66"/>
  <c r="DH9" i="66"/>
  <c r="DI9" i="66" s="1"/>
  <c r="DD9" i="66"/>
  <c r="DE9" i="66" s="1"/>
  <c r="GQ9" i="66"/>
  <c r="GR9" i="66" s="1"/>
  <c r="DC9" i="66"/>
  <c r="DJ9" i="66"/>
  <c r="DK9" i="66" s="1"/>
  <c r="DF9" i="66"/>
  <c r="DG9" i="66" s="1"/>
  <c r="EC10" i="66"/>
  <c r="ET10" i="66" s="1"/>
  <c r="EB10" i="66"/>
  <c r="ES10" i="66" s="1"/>
  <c r="DU10" i="66"/>
  <c r="EL10" i="66" s="1"/>
  <c r="CV38" i="66"/>
  <c r="C38" i="66"/>
  <c r="R31" i="66"/>
  <c r="R24" i="66"/>
  <c r="C17" i="66"/>
  <c r="FA14" i="66"/>
  <c r="FD14" i="66"/>
  <c r="AG16" i="66"/>
  <c r="FC14" i="66"/>
  <c r="CX57" i="66"/>
  <c r="DJ37" i="66"/>
  <c r="DK37" i="66" s="1"/>
  <c r="DF37" i="66"/>
  <c r="DG37" i="66" s="1"/>
  <c r="DH37" i="66"/>
  <c r="DI37" i="66" s="1"/>
  <c r="DD37" i="66"/>
  <c r="DE37" i="66" s="1"/>
  <c r="DC37" i="66"/>
  <c r="CA32" i="66"/>
  <c r="DY14" i="66"/>
  <c r="EP14" i="66" s="1"/>
  <c r="DU14" i="66"/>
  <c r="EL14" i="66" s="1"/>
  <c r="EB14" i="66"/>
  <c r="ES14" i="66" s="1"/>
  <c r="FH20" i="66"/>
  <c r="CX62" i="66"/>
  <c r="DH42" i="66"/>
  <c r="DI42" i="66" s="1"/>
  <c r="DD42" i="66"/>
  <c r="DE42" i="66" s="1"/>
  <c r="DC42" i="66"/>
  <c r="DJ42" i="66"/>
  <c r="DK42" i="66" s="1"/>
  <c r="DF42" i="66"/>
  <c r="DG42" i="66" s="1"/>
  <c r="DN38" i="66"/>
  <c r="DN34" i="66"/>
  <c r="FC78" i="66"/>
  <c r="FC98" i="66"/>
  <c r="FC39" i="66"/>
  <c r="FH39" i="66" s="1"/>
  <c r="FM15" i="66"/>
  <c r="DN15" i="66"/>
  <c r="ED14" i="66" s="1"/>
  <c r="EU14" i="66" s="1"/>
  <c r="CX59" i="66"/>
  <c r="DJ39" i="66"/>
  <c r="DK39" i="66" s="1"/>
  <c r="DF39" i="66"/>
  <c r="DG39" i="66" s="1"/>
  <c r="DD39" i="66"/>
  <c r="DE39" i="66" s="1"/>
  <c r="DH39" i="66"/>
  <c r="DI39" i="66" s="1"/>
  <c r="DC39" i="66"/>
  <c r="DJ58" i="66"/>
  <c r="DK58" i="66" s="1"/>
  <c r="DF58" i="66"/>
  <c r="DG58" i="66" s="1"/>
  <c r="DH58" i="66"/>
  <c r="DI58" i="66" s="1"/>
  <c r="DD58" i="66"/>
  <c r="DE58" i="66" s="1"/>
  <c r="DC58" i="66"/>
  <c r="CX60" i="66"/>
  <c r="DF40" i="66"/>
  <c r="DG40" i="66" s="1"/>
  <c r="DJ40" i="66"/>
  <c r="DK40" i="66" s="1"/>
  <c r="DD40" i="66"/>
  <c r="DE40" i="66" s="1"/>
  <c r="DH40" i="66"/>
  <c r="DI40" i="66" s="1"/>
  <c r="DC40" i="66"/>
  <c r="FI20" i="66"/>
  <c r="EE14" i="10"/>
  <c r="EV14" i="10" s="1"/>
  <c r="DS6" i="10"/>
  <c r="EJ6" i="10" s="1"/>
  <c r="EB6" i="10"/>
  <c r="ES6" i="10" s="1"/>
  <c r="DU13" i="10"/>
  <c r="EL13" i="10" s="1"/>
  <c r="EA6" i="10"/>
  <c r="ER6" i="10" s="1"/>
  <c r="EC6" i="10"/>
  <c r="ET6" i="10" s="1"/>
  <c r="DU4" i="10"/>
  <c r="EL4" i="10" s="1"/>
  <c r="EA16" i="10"/>
  <c r="ER16" i="10" s="1"/>
  <c r="DT6" i="10"/>
  <c r="EK6" i="10" s="1"/>
  <c r="DU14" i="10"/>
  <c r="EL14" i="10" s="1"/>
  <c r="DR6" i="10"/>
  <c r="EI6" i="10" s="1"/>
  <c r="DR16" i="10"/>
  <c r="EI16" i="10" s="1"/>
  <c r="DU5" i="10"/>
  <c r="EL5" i="10" s="1"/>
  <c r="DU3" i="10"/>
  <c r="EL3" i="10" s="1"/>
  <c r="EE13" i="10"/>
  <c r="EV13" i="10" s="1"/>
  <c r="EG6" i="10"/>
  <c r="EX6" i="10" s="1"/>
  <c r="DX12" i="10"/>
  <c r="EO12" i="10" s="1"/>
  <c r="EB9" i="10"/>
  <c r="ES9" i="10" s="1"/>
  <c r="DX3" i="10"/>
  <c r="EO3" i="10" s="1"/>
  <c r="DU9" i="10"/>
  <c r="EL9" i="10" s="1"/>
  <c r="BZ7" i="10"/>
  <c r="AV3" i="10" s="1"/>
  <c r="EE9" i="10"/>
  <c r="EV9" i="10" s="1"/>
  <c r="DX13" i="10"/>
  <c r="EO13" i="10" s="1"/>
  <c r="EE12" i="10"/>
  <c r="EV12" i="10" s="1"/>
  <c r="EB16" i="10"/>
  <c r="ES16" i="10" s="1"/>
  <c r="DX5" i="10"/>
  <c r="EO5" i="10" s="1"/>
  <c r="DX4" i="10"/>
  <c r="EO4" i="10" s="1"/>
  <c r="DR9" i="10"/>
  <c r="EI9" i="10" s="1"/>
  <c r="DX16" i="10"/>
  <c r="EO16" i="10" s="1"/>
  <c r="EC9" i="10"/>
  <c r="ET9" i="10" s="1"/>
  <c r="DT16" i="10"/>
  <c r="EK16" i="10" s="1"/>
  <c r="DT9" i="10"/>
  <c r="EK9" i="10" s="1"/>
  <c r="EE4" i="10"/>
  <c r="EV4" i="10" s="1"/>
  <c r="DS9" i="10"/>
  <c r="EJ9" i="10" s="1"/>
  <c r="DS16" i="10"/>
  <c r="EJ16" i="10" s="1"/>
  <c r="EE3" i="10"/>
  <c r="EV3" i="10" s="1"/>
  <c r="DX6" i="10"/>
  <c r="EO6" i="10" s="1"/>
  <c r="DX14" i="10"/>
  <c r="EO14" i="10" s="1"/>
  <c r="AA10" i="10"/>
  <c r="DB19" i="10" s="1"/>
  <c r="Y10" i="10"/>
  <c r="CZ19" i="10" s="1"/>
  <c r="CZ43" i="10" s="1"/>
  <c r="CZ63" i="10" s="1"/>
  <c r="X10" i="10"/>
  <c r="CY19" i="10" s="1"/>
  <c r="CY43" i="10" s="1"/>
  <c r="CY63" i="10" s="1"/>
  <c r="W10" i="10"/>
  <c r="CX19" i="10" s="1"/>
  <c r="DS18" i="10"/>
  <c r="EJ18" i="10" s="1"/>
  <c r="EG4" i="10"/>
  <c r="EX4" i="10" s="1"/>
  <c r="EG9" i="10"/>
  <c r="EX9" i="10" s="1"/>
  <c r="EG13" i="10"/>
  <c r="EX13" i="10" s="1"/>
  <c r="DT18" i="10"/>
  <c r="EK18" i="10" s="1"/>
  <c r="EG5" i="10"/>
  <c r="EX5" i="10" s="1"/>
  <c r="DR18" i="10"/>
  <c r="EI18" i="10" s="1"/>
  <c r="EG3" i="10"/>
  <c r="EX3" i="10" s="1"/>
  <c r="EG14" i="10"/>
  <c r="EX14" i="10" s="1"/>
  <c r="EC18" i="10"/>
  <c r="ET18" i="10" s="1"/>
  <c r="EB18" i="10"/>
  <c r="ES18" i="10" s="1"/>
  <c r="EA18" i="10"/>
  <c r="ER18" i="10" s="1"/>
  <c r="DU18" i="10"/>
  <c r="EL18" i="10" s="1"/>
  <c r="DX18" i="10"/>
  <c r="EO18" i="10" s="1"/>
  <c r="EG12" i="10"/>
  <c r="EX12" i="10" s="1"/>
  <c r="EE18" i="10"/>
  <c r="EV18" i="10" s="1"/>
  <c r="CX20" i="10"/>
  <c r="DH20" i="10" s="1"/>
  <c r="DI20" i="10" s="1"/>
  <c r="FC41" i="10"/>
  <c r="FC100" i="10"/>
  <c r="DN17" i="10"/>
  <c r="EF16" i="10" s="1"/>
  <c r="EW16" i="10" s="1"/>
  <c r="DN15" i="10"/>
  <c r="DW15" i="10" s="1"/>
  <c r="EN15" i="10" s="1"/>
  <c r="FC39" i="10"/>
  <c r="FC98" i="10"/>
  <c r="CX59" i="10"/>
  <c r="DC39" i="10"/>
  <c r="DH39" i="10"/>
  <c r="DI39" i="10" s="1"/>
  <c r="DJ39" i="10"/>
  <c r="DK39" i="10" s="1"/>
  <c r="DF39" i="10"/>
  <c r="DG39" i="10" s="1"/>
  <c r="DD39" i="10"/>
  <c r="DE39" i="10" s="1"/>
  <c r="CX61" i="10"/>
  <c r="DJ41" i="10"/>
  <c r="DK41" i="10" s="1"/>
  <c r="DC41" i="10"/>
  <c r="DF41" i="10"/>
  <c r="DG41" i="10" s="1"/>
  <c r="DH41" i="10"/>
  <c r="DI41" i="10" s="1"/>
  <c r="DD41" i="10"/>
  <c r="DE41" i="10" s="1"/>
  <c r="DN40" i="10"/>
  <c r="DH60" i="10"/>
  <c r="DI60" i="10" s="1"/>
  <c r="DD60" i="10"/>
  <c r="DE60" i="10" s="1"/>
  <c r="DF60" i="10"/>
  <c r="DG60" i="10" s="1"/>
  <c r="DC60" i="10"/>
  <c r="DJ60" i="10"/>
  <c r="DK60" i="10" s="1"/>
  <c r="DN62" i="10"/>
  <c r="EG16" i="10"/>
  <c r="EX16" i="10" s="1"/>
  <c r="ED16" i="10"/>
  <c r="EU16" i="10" s="1"/>
  <c r="DU16" i="10"/>
  <c r="EL16" i="10" s="1"/>
  <c r="EE6" i="10"/>
  <c r="EV6" i="10" s="1"/>
  <c r="DH35" i="10"/>
  <c r="DI35" i="10" s="1"/>
  <c r="DD35" i="10"/>
  <c r="DE35" i="10" s="1"/>
  <c r="CX55" i="10"/>
  <c r="DC35" i="10"/>
  <c r="DJ35" i="10"/>
  <c r="DK35" i="10" s="1"/>
  <c r="DF35" i="10"/>
  <c r="DG35" i="10" s="1"/>
  <c r="DN56" i="10"/>
  <c r="FC94" i="10"/>
  <c r="DN11" i="10"/>
  <c r="DW11" i="10" s="1"/>
  <c r="EN11" i="10" s="1"/>
  <c r="FC35" i="10"/>
  <c r="DN57" i="10"/>
  <c r="DS8" i="10"/>
  <c r="EJ8" i="10" s="1"/>
  <c r="DT8" i="10"/>
  <c r="EK8" i="10" s="1"/>
  <c r="DW5" i="10"/>
  <c r="EN5" i="10" s="1"/>
  <c r="DR8" i="10"/>
  <c r="EI8" i="10" s="1"/>
  <c r="DW4" i="10"/>
  <c r="EN4" i="10" s="1"/>
  <c r="CX54" i="10"/>
  <c r="DF34" i="10"/>
  <c r="DG34" i="10" s="1"/>
  <c r="DH34" i="10"/>
  <c r="DI34" i="10" s="1"/>
  <c r="DD34" i="10"/>
  <c r="DE34" i="10" s="1"/>
  <c r="DC34" i="10"/>
  <c r="DJ34" i="10"/>
  <c r="DK34" i="10" s="1"/>
  <c r="FC34" i="10"/>
  <c r="FC93" i="10"/>
  <c r="DN10" i="10"/>
  <c r="DW10" i="10" s="1"/>
  <c r="EN10" i="10" s="1"/>
  <c r="FC31" i="10"/>
  <c r="DN7" i="10"/>
  <c r="DV8" i="10" s="1"/>
  <c r="EM8" i="10" s="1"/>
  <c r="FC90" i="10"/>
  <c r="DN53" i="10"/>
  <c r="DH31" i="10"/>
  <c r="DI31" i="10" s="1"/>
  <c r="DD31" i="10"/>
  <c r="DE31" i="10" s="1"/>
  <c r="CX51" i="10"/>
  <c r="DC31" i="10"/>
  <c r="DF31" i="10"/>
  <c r="DG31" i="10" s="1"/>
  <c r="DJ31" i="10"/>
  <c r="DK31" i="10" s="1"/>
  <c r="DN32" i="10"/>
  <c r="DH52" i="10"/>
  <c r="DI52" i="10" s="1"/>
  <c r="DD52" i="10"/>
  <c r="DE52" i="10" s="1"/>
  <c r="DJ52" i="10"/>
  <c r="DK52" i="10" s="1"/>
  <c r="DC52" i="10"/>
  <c r="DF52" i="10"/>
  <c r="DG52" i="10" s="1"/>
  <c r="DW14" i="10"/>
  <c r="EN14" i="10" s="1"/>
  <c r="EG8" i="10"/>
  <c r="EX8" i="10" s="1"/>
  <c r="EC8" i="10"/>
  <c r="ET8" i="10" s="1"/>
  <c r="DW9" i="10"/>
  <c r="EN9" i="10" s="1"/>
  <c r="DW18" i="10"/>
  <c r="EN18" i="10" s="1"/>
  <c r="EB8" i="10"/>
  <c r="ES8" i="10" s="1"/>
  <c r="DX8" i="10"/>
  <c r="EO8" i="10" s="1"/>
  <c r="DW16" i="10"/>
  <c r="EN16" i="10" s="1"/>
  <c r="DW12" i="10"/>
  <c r="EN12" i="10" s="1"/>
  <c r="EE8" i="10"/>
  <c r="EV8" i="10" s="1"/>
  <c r="EA8" i="10"/>
  <c r="ER8" i="10" s="1"/>
  <c r="DW13" i="10"/>
  <c r="EN13" i="10" s="1"/>
  <c r="DU8" i="10"/>
  <c r="EL8" i="10" s="1"/>
  <c r="DW6" i="10"/>
  <c r="EN6" i="10" s="1"/>
  <c r="DN49" i="10"/>
  <c r="DN50" i="10"/>
  <c r="DN47" i="10"/>
  <c r="EE10" i="66" l="1"/>
  <c r="EV10" i="66" s="1"/>
  <c r="DJ36" i="66"/>
  <c r="DK36" i="66" s="1"/>
  <c r="DC36" i="66"/>
  <c r="DF36" i="66"/>
  <c r="DG36" i="66" s="1"/>
  <c r="DH36" i="66"/>
  <c r="DI36" i="66" s="1"/>
  <c r="CX56" i="66"/>
  <c r="DD36" i="66"/>
  <c r="DE36" i="66" s="1"/>
  <c r="FJ20" i="66"/>
  <c r="FC94" i="66"/>
  <c r="FC74" i="66"/>
  <c r="FC35" i="66"/>
  <c r="FH35" i="66" s="1"/>
  <c r="DN11" i="66"/>
  <c r="FM11" i="66"/>
  <c r="DN5" i="66"/>
  <c r="FC88" i="66"/>
  <c r="FM5" i="66"/>
  <c r="FC68" i="66"/>
  <c r="FC29" i="66"/>
  <c r="FH29" i="66" s="1"/>
  <c r="FM7" i="66"/>
  <c r="FC90" i="66"/>
  <c r="DN7" i="66"/>
  <c r="FC70" i="66"/>
  <c r="FC31" i="66"/>
  <c r="FH31" i="66" s="1"/>
  <c r="CX51" i="66"/>
  <c r="DH31" i="66"/>
  <c r="DI31" i="66" s="1"/>
  <c r="DC31" i="66"/>
  <c r="DF31" i="66"/>
  <c r="DG31" i="66" s="1"/>
  <c r="DD31" i="66"/>
  <c r="DE31" i="66" s="1"/>
  <c r="DJ31" i="66"/>
  <c r="DK31" i="66" s="1"/>
  <c r="DN8" i="66"/>
  <c r="FC91" i="66"/>
  <c r="FM8" i="66"/>
  <c r="FC71" i="66"/>
  <c r="FC32" i="66"/>
  <c r="FH32" i="66" s="1"/>
  <c r="FC27" i="66"/>
  <c r="FH27" i="66" s="1"/>
  <c r="DN3" i="66"/>
  <c r="FC66" i="66"/>
  <c r="FM3" i="66"/>
  <c r="FC86" i="66"/>
  <c r="DH28" i="66"/>
  <c r="DI28" i="66" s="1"/>
  <c r="DF28" i="66"/>
  <c r="DG28" i="66" s="1"/>
  <c r="DD28" i="66"/>
  <c r="DE28" i="66" s="1"/>
  <c r="DC28" i="66"/>
  <c r="CX48" i="66"/>
  <c r="DJ28" i="66"/>
  <c r="DK28" i="66" s="1"/>
  <c r="CX55" i="66"/>
  <c r="DJ35" i="66"/>
  <c r="DK35" i="66" s="1"/>
  <c r="DH35" i="66"/>
  <c r="DI35" i="66" s="1"/>
  <c r="DF35" i="66"/>
  <c r="DG35" i="66" s="1"/>
  <c r="DD35" i="66"/>
  <c r="DE35" i="66" s="1"/>
  <c r="DC35" i="66"/>
  <c r="CX49" i="66"/>
  <c r="DJ29" i="66"/>
  <c r="DK29" i="66" s="1"/>
  <c r="DH29" i="66"/>
  <c r="DI29" i="66" s="1"/>
  <c r="DF29" i="66"/>
  <c r="DG29" i="66" s="1"/>
  <c r="DD29" i="66"/>
  <c r="DE29" i="66" s="1"/>
  <c r="DC29" i="66"/>
  <c r="DC32" i="66"/>
  <c r="DD32" i="66"/>
  <c r="DE32" i="66" s="1"/>
  <c r="DJ32" i="66"/>
  <c r="DK32" i="66" s="1"/>
  <c r="DF32" i="66"/>
  <c r="DG32" i="66" s="1"/>
  <c r="CX52" i="66"/>
  <c r="DH32" i="66"/>
  <c r="DI32" i="66" s="1"/>
  <c r="DD27" i="66"/>
  <c r="DE27" i="66" s="1"/>
  <c r="DC27" i="66"/>
  <c r="CX47" i="66"/>
  <c r="DJ27" i="66"/>
  <c r="DK27" i="66" s="1"/>
  <c r="DH27" i="66"/>
  <c r="DI27" i="66" s="1"/>
  <c r="DF27" i="66"/>
  <c r="DG27" i="66" s="1"/>
  <c r="FC75" i="66"/>
  <c r="FC36" i="66"/>
  <c r="FH36" i="66" s="1"/>
  <c r="DN12" i="66"/>
  <c r="FC95" i="66"/>
  <c r="FM12" i="66"/>
  <c r="FC87" i="66"/>
  <c r="FC67" i="66"/>
  <c r="FC28" i="66"/>
  <c r="FH28" i="66" s="1"/>
  <c r="DN4" i="66"/>
  <c r="FM4" i="66"/>
  <c r="FD83" i="66"/>
  <c r="FD82" i="66"/>
  <c r="EC18" i="66"/>
  <c r="ET18" i="66" s="1"/>
  <c r="DY18" i="66"/>
  <c r="EP18" i="66" s="1"/>
  <c r="DU18" i="66"/>
  <c r="EL18" i="66" s="1"/>
  <c r="EE18" i="66"/>
  <c r="EV18" i="66" s="1"/>
  <c r="EA18" i="66"/>
  <c r="ER18" i="66" s="1"/>
  <c r="DW18" i="66"/>
  <c r="EN18" i="66" s="1"/>
  <c r="DS18" i="66"/>
  <c r="EJ18" i="66" s="1"/>
  <c r="DZ18" i="66"/>
  <c r="EQ18" i="66" s="1"/>
  <c r="DR18" i="66"/>
  <c r="EI18" i="66" s="1"/>
  <c r="ED18" i="66"/>
  <c r="EU18" i="66" s="1"/>
  <c r="DV18" i="66"/>
  <c r="EM18" i="66" s="1"/>
  <c r="EB18" i="66"/>
  <c r="ES18" i="66" s="1"/>
  <c r="DT18" i="66"/>
  <c r="EK18" i="66" s="1"/>
  <c r="EG3" i="66"/>
  <c r="EX3" i="66" s="1"/>
  <c r="EG11" i="66"/>
  <c r="EX11" i="66" s="1"/>
  <c r="EG12" i="66"/>
  <c r="EX12" i="66" s="1"/>
  <c r="EG4" i="66"/>
  <c r="EX4" i="66" s="1"/>
  <c r="EG6" i="66"/>
  <c r="EX6" i="66" s="1"/>
  <c r="DN40" i="66"/>
  <c r="EC15" i="66"/>
  <c r="ET15" i="66" s="1"/>
  <c r="DY15" i="66"/>
  <c r="EP15" i="66" s="1"/>
  <c r="DU15" i="66"/>
  <c r="EL15" i="66" s="1"/>
  <c r="EG15" i="66"/>
  <c r="EX15" i="66" s="1"/>
  <c r="EB15" i="66"/>
  <c r="ES15" i="66" s="1"/>
  <c r="DT15" i="66"/>
  <c r="EK15" i="66" s="1"/>
  <c r="EA15" i="66"/>
  <c r="ER15" i="66" s="1"/>
  <c r="DW15" i="66"/>
  <c r="EN15" i="66" s="1"/>
  <c r="DS15" i="66"/>
  <c r="EJ15" i="66" s="1"/>
  <c r="EE15" i="66"/>
  <c r="EV15" i="66" s="1"/>
  <c r="DZ15" i="66"/>
  <c r="EQ15" i="66" s="1"/>
  <c r="DV15" i="66"/>
  <c r="EM15" i="66" s="1"/>
  <c r="DR15" i="66"/>
  <c r="EI15" i="66" s="1"/>
  <c r="ED6" i="66"/>
  <c r="EU6" i="66" s="1"/>
  <c r="ED4" i="66"/>
  <c r="EU4" i="66" s="1"/>
  <c r="ED11" i="66"/>
  <c r="EU11" i="66" s="1"/>
  <c r="ED12" i="66"/>
  <c r="EU12" i="66" s="1"/>
  <c r="ED3" i="66"/>
  <c r="EU3" i="66" s="1"/>
  <c r="DN42" i="66"/>
  <c r="EG14" i="66"/>
  <c r="EX14" i="66" s="1"/>
  <c r="FC100" i="66"/>
  <c r="FC80" i="66"/>
  <c r="FC41" i="66"/>
  <c r="FH41" i="66" s="1"/>
  <c r="DN17" i="66"/>
  <c r="EF18" i="66" s="1"/>
  <c r="EW18" i="66" s="1"/>
  <c r="FM17" i="66"/>
  <c r="EG8" i="66"/>
  <c r="EX8" i="66" s="1"/>
  <c r="DN54" i="66"/>
  <c r="DJ57" i="66"/>
  <c r="DK57" i="66" s="1"/>
  <c r="DF57" i="66"/>
  <c r="DG57" i="66" s="1"/>
  <c r="DH57" i="66"/>
  <c r="DI57" i="66" s="1"/>
  <c r="DD57" i="66"/>
  <c r="DE57" i="66" s="1"/>
  <c r="DC57" i="66"/>
  <c r="FF38" i="66"/>
  <c r="FD38" i="66"/>
  <c r="EG7" i="66"/>
  <c r="EX7" i="66" s="1"/>
  <c r="DJ60" i="66"/>
  <c r="DK60" i="66" s="1"/>
  <c r="DF60" i="66"/>
  <c r="DG60" i="66" s="1"/>
  <c r="DH60" i="66"/>
  <c r="DI60" i="66" s="1"/>
  <c r="DD60" i="66"/>
  <c r="DE60" i="66" s="1"/>
  <c r="DC60" i="66"/>
  <c r="ED10" i="66"/>
  <c r="EU10" i="66" s="1"/>
  <c r="FC92" i="66"/>
  <c r="FC72" i="66"/>
  <c r="FC33" i="66"/>
  <c r="FH33" i="66" s="1"/>
  <c r="FM9" i="66"/>
  <c r="DN9" i="66"/>
  <c r="DX15" i="66" s="1"/>
  <c r="EO15" i="66" s="1"/>
  <c r="CX53" i="66"/>
  <c r="DC33" i="66"/>
  <c r="DJ33" i="66"/>
  <c r="DK33" i="66" s="1"/>
  <c r="DF33" i="66"/>
  <c r="DG33" i="66" s="1"/>
  <c r="DH33" i="66"/>
  <c r="DI33" i="66" s="1"/>
  <c r="DD33" i="66"/>
  <c r="DE33" i="66" s="1"/>
  <c r="EG16" i="66"/>
  <c r="EX16" i="66" s="1"/>
  <c r="EB16" i="66"/>
  <c r="ES16" i="66" s="1"/>
  <c r="DX16" i="66"/>
  <c r="EO16" i="66" s="1"/>
  <c r="DT16" i="66"/>
  <c r="EK16" i="66" s="1"/>
  <c r="ED16" i="66"/>
  <c r="EU16" i="66" s="1"/>
  <c r="DZ16" i="66"/>
  <c r="EQ16" i="66" s="1"/>
  <c r="DV16" i="66"/>
  <c r="EM16" i="66" s="1"/>
  <c r="DR16" i="66"/>
  <c r="EI16" i="66" s="1"/>
  <c r="DY16" i="66"/>
  <c r="EP16" i="66" s="1"/>
  <c r="EF16" i="66"/>
  <c r="EW16" i="66" s="1"/>
  <c r="DW16" i="66"/>
  <c r="EN16" i="66" s="1"/>
  <c r="EC16" i="66"/>
  <c r="ET16" i="66" s="1"/>
  <c r="DU16" i="66"/>
  <c r="EL16" i="66" s="1"/>
  <c r="EA16" i="66"/>
  <c r="ER16" i="66" s="1"/>
  <c r="DS16" i="66"/>
  <c r="EJ16" i="66" s="1"/>
  <c r="EE3" i="66"/>
  <c r="EV3" i="66" s="1"/>
  <c r="EE6" i="66"/>
  <c r="EV6" i="66" s="1"/>
  <c r="EE11" i="66"/>
  <c r="EV11" i="66" s="1"/>
  <c r="EE12" i="66"/>
  <c r="EV12" i="66" s="1"/>
  <c r="EE4" i="66"/>
  <c r="EV4" i="66" s="1"/>
  <c r="EE8" i="66"/>
  <c r="EV8" i="66" s="1"/>
  <c r="DJ59" i="66"/>
  <c r="DK59" i="66" s="1"/>
  <c r="DF59" i="66"/>
  <c r="DG59" i="66" s="1"/>
  <c r="DH59" i="66"/>
  <c r="DI59" i="66" s="1"/>
  <c r="DD59" i="66"/>
  <c r="DE59" i="66" s="1"/>
  <c r="DC59" i="66"/>
  <c r="DC62" i="66"/>
  <c r="DJ62" i="66"/>
  <c r="DK62" i="66" s="1"/>
  <c r="DD62" i="66"/>
  <c r="DE62" i="66" s="1"/>
  <c r="DH62" i="66"/>
  <c r="DI62" i="66" s="1"/>
  <c r="DF62" i="66"/>
  <c r="DG62" i="66" s="1"/>
  <c r="DN58" i="66"/>
  <c r="DN39" i="66"/>
  <c r="DN37" i="66"/>
  <c r="FM14" i="66"/>
  <c r="CV58" i="66"/>
  <c r="FA38" i="66"/>
  <c r="EG10" i="66"/>
  <c r="EX10" i="66" s="1"/>
  <c r="EG5" i="66"/>
  <c r="EX5" i="66" s="1"/>
  <c r="CX61" i="66"/>
  <c r="DC41" i="66"/>
  <c r="DF41" i="66"/>
  <c r="DG41" i="66" s="1"/>
  <c r="DD41" i="66"/>
  <c r="DE41" i="66" s="1"/>
  <c r="DJ41" i="66"/>
  <c r="DK41" i="66" s="1"/>
  <c r="DH41" i="66"/>
  <c r="DI41" i="66" s="1"/>
  <c r="EF13" i="66"/>
  <c r="EW13" i="66" s="1"/>
  <c r="EA13" i="66"/>
  <c r="ER13" i="66" s="1"/>
  <c r="DW13" i="66"/>
  <c r="EN13" i="66" s="1"/>
  <c r="DS13" i="66"/>
  <c r="EJ13" i="66" s="1"/>
  <c r="EE13" i="66"/>
  <c r="EV13" i="66" s="1"/>
  <c r="DZ13" i="66"/>
  <c r="EQ13" i="66" s="1"/>
  <c r="DV13" i="66"/>
  <c r="EM13" i="66" s="1"/>
  <c r="DR13" i="66"/>
  <c r="EI13" i="66" s="1"/>
  <c r="ED13" i="66"/>
  <c r="EU13" i="66" s="1"/>
  <c r="DY13" i="66"/>
  <c r="EP13" i="66" s="1"/>
  <c r="DU13" i="66"/>
  <c r="EL13" i="66" s="1"/>
  <c r="EG13" i="66"/>
  <c r="EX13" i="66" s="1"/>
  <c r="EC13" i="66"/>
  <c r="ET13" i="66" s="1"/>
  <c r="DX13" i="66"/>
  <c r="EO13" i="66" s="1"/>
  <c r="DT13" i="66"/>
  <c r="EK13" i="66" s="1"/>
  <c r="EB3" i="66"/>
  <c r="ES3" i="66" s="1"/>
  <c r="EB6" i="66"/>
  <c r="ES6" i="66" s="1"/>
  <c r="EB11" i="66"/>
  <c r="ES11" i="66" s="1"/>
  <c r="EB12" i="66"/>
  <c r="ES12" i="66" s="1"/>
  <c r="EB4" i="66"/>
  <c r="ES4" i="66" s="1"/>
  <c r="BJ43" i="66"/>
  <c r="BJ40" i="66"/>
  <c r="BJ41" i="66"/>
  <c r="BJ42" i="66"/>
  <c r="AV4" i="10"/>
  <c r="AV5" i="10"/>
  <c r="AV2" i="10"/>
  <c r="CX44" i="10"/>
  <c r="DJ44" i="10" s="1"/>
  <c r="DK44" i="10" s="1"/>
  <c r="DY8" i="10"/>
  <c r="EP8" i="10" s="1"/>
  <c r="DH19" i="10"/>
  <c r="DI19" i="10" s="1"/>
  <c r="AB10" i="10"/>
  <c r="CA28" i="10" s="1"/>
  <c r="DJ19" i="10"/>
  <c r="DK19" i="10" s="1"/>
  <c r="DC19" i="10"/>
  <c r="FC43" i="10" s="1"/>
  <c r="ED8" i="10"/>
  <c r="EU8" i="10" s="1"/>
  <c r="DD19" i="10"/>
  <c r="DE19" i="10" s="1"/>
  <c r="CX43" i="10"/>
  <c r="DF19" i="10"/>
  <c r="DG19" i="10" s="1"/>
  <c r="DJ20" i="10"/>
  <c r="DK20" i="10" s="1"/>
  <c r="DC20" i="10"/>
  <c r="FC44" i="10" s="1"/>
  <c r="DD20" i="10"/>
  <c r="DE20" i="10" s="1"/>
  <c r="DF20" i="10"/>
  <c r="DG20" i="10" s="1"/>
  <c r="DW7" i="10"/>
  <c r="EN7" i="10" s="1"/>
  <c r="DW17" i="10"/>
  <c r="EN17" i="10" s="1"/>
  <c r="EE17" i="10"/>
  <c r="EV17" i="10" s="1"/>
  <c r="DF61" i="10"/>
  <c r="DG61" i="10" s="1"/>
  <c r="DD61" i="10"/>
  <c r="DE61" i="10" s="1"/>
  <c r="DJ61" i="10"/>
  <c r="DK61" i="10" s="1"/>
  <c r="DC61" i="10"/>
  <c r="DH61" i="10"/>
  <c r="DI61" i="10" s="1"/>
  <c r="EF8" i="10"/>
  <c r="EW8" i="10" s="1"/>
  <c r="DN39" i="10"/>
  <c r="ED6" i="10"/>
  <c r="EU6" i="10" s="1"/>
  <c r="DU15" i="10"/>
  <c r="EL15" i="10" s="1"/>
  <c r="EG15" i="10"/>
  <c r="EX15" i="10" s="1"/>
  <c r="ED13" i="10"/>
  <c r="EU13" i="10" s="1"/>
  <c r="ED12" i="10"/>
  <c r="EU12" i="10" s="1"/>
  <c r="DT15" i="10"/>
  <c r="EK15" i="10" s="1"/>
  <c r="ED5" i="10"/>
  <c r="EU5" i="10" s="1"/>
  <c r="DR15" i="10"/>
  <c r="EI15" i="10" s="1"/>
  <c r="ED4" i="10"/>
  <c r="EU4" i="10" s="1"/>
  <c r="ED18" i="10"/>
  <c r="EU18" i="10" s="1"/>
  <c r="EF15" i="10"/>
  <c r="EW15" i="10" s="1"/>
  <c r="EB15" i="10"/>
  <c r="ES15" i="10" s="1"/>
  <c r="EC15" i="10"/>
  <c r="ET15" i="10" s="1"/>
  <c r="ED9" i="10"/>
  <c r="EU9" i="10" s="1"/>
  <c r="DS15" i="10"/>
  <c r="EJ15" i="10" s="1"/>
  <c r="ED3" i="10"/>
  <c r="EU3" i="10" s="1"/>
  <c r="EE15" i="10"/>
  <c r="EV15" i="10" s="1"/>
  <c r="ED14" i="10"/>
  <c r="EU14" i="10" s="1"/>
  <c r="EA15" i="10"/>
  <c r="ER15" i="10" s="1"/>
  <c r="DX15" i="10"/>
  <c r="EO15" i="10" s="1"/>
  <c r="DU17" i="10"/>
  <c r="EL17" i="10" s="1"/>
  <c r="ED17" i="10"/>
  <c r="EU17" i="10" s="1"/>
  <c r="EF6" i="10"/>
  <c r="EW6" i="10" s="1"/>
  <c r="EB17" i="10"/>
  <c r="ES17" i="10" s="1"/>
  <c r="EF14" i="10"/>
  <c r="EW14" i="10" s="1"/>
  <c r="DX17" i="10"/>
  <c r="EO17" i="10" s="1"/>
  <c r="EF3" i="10"/>
  <c r="EW3" i="10" s="1"/>
  <c r="EF4" i="10"/>
  <c r="EW4" i="10" s="1"/>
  <c r="EA17" i="10"/>
  <c r="ER17" i="10" s="1"/>
  <c r="DT17" i="10"/>
  <c r="EK17" i="10" s="1"/>
  <c r="EG17" i="10"/>
  <c r="EX17" i="10" s="1"/>
  <c r="DS17" i="10"/>
  <c r="EJ17" i="10" s="1"/>
  <c r="EF12" i="10"/>
  <c r="EW12" i="10" s="1"/>
  <c r="DR17" i="10"/>
  <c r="EI17" i="10" s="1"/>
  <c r="EF5" i="10"/>
  <c r="EW5" i="10" s="1"/>
  <c r="EF18" i="10"/>
  <c r="EW18" i="10" s="1"/>
  <c r="EF13" i="10"/>
  <c r="EW13" i="10" s="1"/>
  <c r="EC17" i="10"/>
  <c r="ET17" i="10" s="1"/>
  <c r="EF9" i="10"/>
  <c r="EW9" i="10" s="1"/>
  <c r="DN41" i="10"/>
  <c r="DH59" i="10"/>
  <c r="DI59" i="10" s="1"/>
  <c r="DJ59" i="10"/>
  <c r="DK59" i="10" s="1"/>
  <c r="DD59" i="10"/>
  <c r="DE59" i="10" s="1"/>
  <c r="DC59" i="10"/>
  <c r="DF59" i="10"/>
  <c r="DG59" i="10" s="1"/>
  <c r="DN60" i="10"/>
  <c r="DZ8" i="10"/>
  <c r="EQ8" i="10" s="1"/>
  <c r="DH55" i="10"/>
  <c r="DI55" i="10" s="1"/>
  <c r="DD55" i="10"/>
  <c r="DE55" i="10" s="1"/>
  <c r="DC55" i="10"/>
  <c r="DF55" i="10"/>
  <c r="DG55" i="10" s="1"/>
  <c r="DJ55" i="10"/>
  <c r="DK55" i="10" s="1"/>
  <c r="EE11" i="10"/>
  <c r="EV11" i="10" s="1"/>
  <c r="EA11" i="10"/>
  <c r="ER11" i="10" s="1"/>
  <c r="DZ17" i="10"/>
  <c r="EQ17" i="10" s="1"/>
  <c r="DZ16" i="10"/>
  <c r="EQ16" i="10" s="1"/>
  <c r="DZ15" i="10"/>
  <c r="EQ15" i="10" s="1"/>
  <c r="EG11" i="10"/>
  <c r="EX11" i="10" s="1"/>
  <c r="EC11" i="10"/>
  <c r="ET11" i="10" s="1"/>
  <c r="EF11" i="10"/>
  <c r="EW11" i="10" s="1"/>
  <c r="DZ18" i="10"/>
  <c r="EQ18" i="10" s="1"/>
  <c r="EB11" i="10"/>
  <c r="ES11" i="10" s="1"/>
  <c r="ED11" i="10"/>
  <c r="EU11" i="10" s="1"/>
  <c r="DZ6" i="10"/>
  <c r="EQ6" i="10" s="1"/>
  <c r="DU11" i="10"/>
  <c r="EL11" i="10" s="1"/>
  <c r="DZ12" i="10"/>
  <c r="EQ12" i="10" s="1"/>
  <c r="DZ9" i="10"/>
  <c r="EQ9" i="10" s="1"/>
  <c r="DR11" i="10"/>
  <c r="EI11" i="10" s="1"/>
  <c r="DZ4" i="10"/>
  <c r="EQ4" i="10" s="1"/>
  <c r="DZ5" i="10"/>
  <c r="EQ5" i="10" s="1"/>
  <c r="DS11" i="10"/>
  <c r="EJ11" i="10" s="1"/>
  <c r="DZ14" i="10"/>
  <c r="EQ14" i="10" s="1"/>
  <c r="DT11" i="10"/>
  <c r="EK11" i="10" s="1"/>
  <c r="DX11" i="10"/>
  <c r="EO11" i="10" s="1"/>
  <c r="DZ3" i="10"/>
  <c r="EQ3" i="10" s="1"/>
  <c r="DZ13" i="10"/>
  <c r="EQ13" i="10" s="1"/>
  <c r="DN35" i="10"/>
  <c r="DJ51" i="10"/>
  <c r="DK51" i="10" s="1"/>
  <c r="DF51" i="10"/>
  <c r="DG51" i="10" s="1"/>
  <c r="DC51" i="10"/>
  <c r="DH51" i="10"/>
  <c r="DI51" i="10" s="1"/>
  <c r="DD51" i="10"/>
  <c r="DE51" i="10" s="1"/>
  <c r="EG10" i="10"/>
  <c r="EX10" i="10" s="1"/>
  <c r="EC10" i="10"/>
  <c r="ET10" i="10" s="1"/>
  <c r="DX10" i="10"/>
  <c r="EO10" i="10" s="1"/>
  <c r="DY14" i="10"/>
  <c r="EP14" i="10" s="1"/>
  <c r="EF10" i="10"/>
  <c r="EW10" i="10" s="1"/>
  <c r="EB10" i="10"/>
  <c r="ES10" i="10" s="1"/>
  <c r="DV10" i="10"/>
  <c r="EM10" i="10" s="1"/>
  <c r="DY17" i="10"/>
  <c r="EP17" i="10" s="1"/>
  <c r="DY13" i="10"/>
  <c r="EP13" i="10" s="1"/>
  <c r="DY11" i="10"/>
  <c r="EP11" i="10" s="1"/>
  <c r="EE10" i="10"/>
  <c r="EV10" i="10" s="1"/>
  <c r="EA10" i="10"/>
  <c r="ER10" i="10" s="1"/>
  <c r="DY16" i="10"/>
  <c r="EP16" i="10" s="1"/>
  <c r="DY12" i="10"/>
  <c r="EP12" i="10" s="1"/>
  <c r="DZ10" i="10"/>
  <c r="EQ10" i="10" s="1"/>
  <c r="DY15" i="10"/>
  <c r="EP15" i="10" s="1"/>
  <c r="DY18" i="10"/>
  <c r="EP18" i="10" s="1"/>
  <c r="ED10" i="10"/>
  <c r="EU10" i="10" s="1"/>
  <c r="DY9" i="10"/>
  <c r="EP9" i="10" s="1"/>
  <c r="DY6" i="10"/>
  <c r="EP6" i="10" s="1"/>
  <c r="DU10" i="10"/>
  <c r="EL10" i="10" s="1"/>
  <c r="DY5" i="10"/>
  <c r="EP5" i="10" s="1"/>
  <c r="DT10" i="10"/>
  <c r="EK10" i="10" s="1"/>
  <c r="DR10" i="10"/>
  <c r="EI10" i="10" s="1"/>
  <c r="DY4" i="10"/>
  <c r="EP4" i="10" s="1"/>
  <c r="DY3" i="10"/>
  <c r="EP3" i="10" s="1"/>
  <c r="DS10" i="10"/>
  <c r="EJ10" i="10" s="1"/>
  <c r="DN31" i="10"/>
  <c r="DV17" i="10"/>
  <c r="EM17" i="10" s="1"/>
  <c r="DV13" i="10"/>
  <c r="EM13" i="10" s="1"/>
  <c r="DV11" i="10"/>
  <c r="EM11" i="10" s="1"/>
  <c r="EF7" i="10"/>
  <c r="EW7" i="10" s="1"/>
  <c r="EB7" i="10"/>
  <c r="ES7" i="10" s="1"/>
  <c r="DX7" i="10"/>
  <c r="EO7" i="10" s="1"/>
  <c r="DV18" i="10"/>
  <c r="EM18" i="10" s="1"/>
  <c r="DV16" i="10"/>
  <c r="EM16" i="10" s="1"/>
  <c r="DV15" i="10"/>
  <c r="EM15" i="10" s="1"/>
  <c r="DV12" i="10"/>
  <c r="EM12" i="10" s="1"/>
  <c r="EE7" i="10"/>
  <c r="EV7" i="10" s="1"/>
  <c r="EA7" i="10"/>
  <c r="ER7" i="10" s="1"/>
  <c r="ED7" i="10"/>
  <c r="EU7" i="10" s="1"/>
  <c r="DZ7" i="10"/>
  <c r="EQ7" i="10" s="1"/>
  <c r="EG7" i="10"/>
  <c r="EX7" i="10" s="1"/>
  <c r="DY7" i="10"/>
  <c r="EP7" i="10" s="1"/>
  <c r="EC7" i="10"/>
  <c r="ET7" i="10" s="1"/>
  <c r="DV14" i="10"/>
  <c r="EM14" i="10" s="1"/>
  <c r="DV6" i="10"/>
  <c r="EM6" i="10" s="1"/>
  <c r="DV9" i="10"/>
  <c r="EM9" i="10" s="1"/>
  <c r="DU7" i="10"/>
  <c r="EL7" i="10" s="1"/>
  <c r="DR7" i="10"/>
  <c r="EI7" i="10" s="1"/>
  <c r="DS7" i="10"/>
  <c r="EJ7" i="10" s="1"/>
  <c r="DV5" i="10"/>
  <c r="EM5" i="10" s="1"/>
  <c r="DV3" i="10"/>
  <c r="EM3" i="10" s="1"/>
  <c r="DV4" i="10"/>
  <c r="EM4" i="10" s="1"/>
  <c r="DT7" i="10"/>
  <c r="EK7" i="10" s="1"/>
  <c r="DN34" i="10"/>
  <c r="DC54" i="10"/>
  <c r="DJ54" i="10"/>
  <c r="DK54" i="10" s="1"/>
  <c r="DF54" i="10"/>
  <c r="DG54" i="10" s="1"/>
  <c r="DD54" i="10"/>
  <c r="DE54" i="10" s="1"/>
  <c r="DH54" i="10"/>
  <c r="DI54" i="10" s="1"/>
  <c r="DN52" i="10"/>
  <c r="CX64" i="10"/>
  <c r="DN35" i="66" l="1"/>
  <c r="DV6" i="66"/>
  <c r="EM6" i="66" s="1"/>
  <c r="DV10" i="66"/>
  <c r="EM10" i="66" s="1"/>
  <c r="EC7" i="66"/>
  <c r="ET7" i="66" s="1"/>
  <c r="EA7" i="66"/>
  <c r="ER7" i="66" s="1"/>
  <c r="DS7" i="66"/>
  <c r="EJ7" i="66" s="1"/>
  <c r="EB7" i="66"/>
  <c r="ES7" i="66" s="1"/>
  <c r="DY7" i="66"/>
  <c r="EP7" i="66" s="1"/>
  <c r="DW7" i="66"/>
  <c r="EN7" i="66" s="1"/>
  <c r="DZ7" i="66"/>
  <c r="EQ7" i="66" s="1"/>
  <c r="EE7" i="66"/>
  <c r="EV7" i="66" s="1"/>
  <c r="DT7" i="66"/>
  <c r="EK7" i="66" s="1"/>
  <c r="DR7" i="66"/>
  <c r="EI7" i="66" s="1"/>
  <c r="ED7" i="66"/>
  <c r="EU7" i="66" s="1"/>
  <c r="DV14" i="66"/>
  <c r="EM14" i="66" s="1"/>
  <c r="DU7" i="66"/>
  <c r="EL7" i="66" s="1"/>
  <c r="DN36" i="66"/>
  <c r="EA4" i="66"/>
  <c r="ER4" i="66" s="1"/>
  <c r="DU4" i="66"/>
  <c r="EL4" i="66" s="1"/>
  <c r="DR4" i="66"/>
  <c r="EI4" i="66" s="1"/>
  <c r="DT4" i="66"/>
  <c r="EK4" i="66" s="1"/>
  <c r="DS6" i="66"/>
  <c r="EJ6" i="66" s="1"/>
  <c r="DV4" i="66"/>
  <c r="EM4" i="66" s="1"/>
  <c r="DZ4" i="66"/>
  <c r="EQ4" i="66" s="1"/>
  <c r="DY4" i="66"/>
  <c r="EP4" i="66" s="1"/>
  <c r="DS14" i="66"/>
  <c r="EJ14" i="66" s="1"/>
  <c r="DS10" i="66"/>
  <c r="EJ10" i="66" s="1"/>
  <c r="EC4" i="66"/>
  <c r="ET4" i="66" s="1"/>
  <c r="DW4" i="66"/>
  <c r="EN4" i="66" s="1"/>
  <c r="DD47" i="66"/>
  <c r="DE47" i="66" s="1"/>
  <c r="DC47" i="66"/>
  <c r="DJ47" i="66"/>
  <c r="DK47" i="66" s="1"/>
  <c r="DH47" i="66"/>
  <c r="DI47" i="66" s="1"/>
  <c r="DF47" i="66"/>
  <c r="DG47" i="66" s="1"/>
  <c r="DD52" i="66"/>
  <c r="DE52" i="66" s="1"/>
  <c r="DC52" i="66"/>
  <c r="DJ52" i="66"/>
  <c r="DK52" i="66" s="1"/>
  <c r="DH52" i="66"/>
  <c r="DI52" i="66" s="1"/>
  <c r="DF52" i="66"/>
  <c r="DG52" i="66" s="1"/>
  <c r="DN32" i="66"/>
  <c r="DJ55" i="66"/>
  <c r="DK55" i="66" s="1"/>
  <c r="DD55" i="66"/>
  <c r="DE55" i="66" s="1"/>
  <c r="DF55" i="66"/>
  <c r="DG55" i="66" s="1"/>
  <c r="DC55" i="66"/>
  <c r="DH55" i="66"/>
  <c r="DI55" i="66" s="1"/>
  <c r="DJ48" i="66"/>
  <c r="DK48" i="66" s="1"/>
  <c r="DH48" i="66"/>
  <c r="DI48" i="66" s="1"/>
  <c r="DF48" i="66"/>
  <c r="DG48" i="66" s="1"/>
  <c r="DD48" i="66"/>
  <c r="DE48" i="66" s="1"/>
  <c r="DC48" i="66"/>
  <c r="DN48" i="66" s="1"/>
  <c r="DT3" i="66"/>
  <c r="EK3" i="66" s="1"/>
  <c r="DW3" i="66"/>
  <c r="EN3" i="66" s="1"/>
  <c r="DZ3" i="66"/>
  <c r="EQ3" i="66" s="1"/>
  <c r="EA3" i="66"/>
  <c r="ER3" i="66" s="1"/>
  <c r="DR6" i="66"/>
  <c r="EI6" i="66" s="1"/>
  <c r="DU3" i="66"/>
  <c r="EL3" i="66" s="1"/>
  <c r="DV3" i="66"/>
  <c r="EM3" i="66" s="1"/>
  <c r="DS3" i="66"/>
  <c r="EJ3" i="66" s="1"/>
  <c r="DR14" i="66"/>
  <c r="EI14" i="66" s="1"/>
  <c r="EC3" i="66"/>
  <c r="ET3" i="66" s="1"/>
  <c r="DR10" i="66"/>
  <c r="EI10" i="66" s="1"/>
  <c r="DY3" i="66"/>
  <c r="EP3" i="66" s="1"/>
  <c r="DC51" i="66"/>
  <c r="DJ51" i="66"/>
  <c r="DK51" i="66" s="1"/>
  <c r="DH51" i="66"/>
  <c r="DI51" i="66" s="1"/>
  <c r="DF51" i="66"/>
  <c r="DG51" i="66" s="1"/>
  <c r="DD51" i="66"/>
  <c r="DE51" i="66" s="1"/>
  <c r="DS11" i="66"/>
  <c r="EJ11" i="66" s="1"/>
  <c r="EA11" i="66"/>
  <c r="ER11" i="66" s="1"/>
  <c r="DY11" i="66"/>
  <c r="EP11" i="66" s="1"/>
  <c r="DR11" i="66"/>
  <c r="EI11" i="66" s="1"/>
  <c r="DZ6" i="66"/>
  <c r="EQ6" i="66" s="1"/>
  <c r="DU11" i="66"/>
  <c r="EL11" i="66" s="1"/>
  <c r="EC11" i="66"/>
  <c r="ET11" i="66" s="1"/>
  <c r="DV11" i="66"/>
  <c r="EM11" i="66" s="1"/>
  <c r="DW11" i="66"/>
  <c r="EN11" i="66" s="1"/>
  <c r="DZ10" i="66"/>
  <c r="EQ10" i="66" s="1"/>
  <c r="DZ14" i="66"/>
  <c r="EQ14" i="66" s="1"/>
  <c r="DT11" i="66"/>
  <c r="EK11" i="66" s="1"/>
  <c r="DD56" i="66"/>
  <c r="DE56" i="66" s="1"/>
  <c r="DC56" i="66"/>
  <c r="DJ56" i="66"/>
  <c r="DK56" i="66" s="1"/>
  <c r="DH56" i="66"/>
  <c r="DI56" i="66" s="1"/>
  <c r="DF56" i="66"/>
  <c r="DG56" i="66" s="1"/>
  <c r="DN60" i="66"/>
  <c r="DN27" i="66"/>
  <c r="DN29" i="66"/>
  <c r="DN28" i="66"/>
  <c r="DY12" i="66"/>
  <c r="EP12" i="66" s="1"/>
  <c r="EA6" i="66"/>
  <c r="ER6" i="66" s="1"/>
  <c r="DZ12" i="66"/>
  <c r="EQ12" i="66" s="1"/>
  <c r="DU12" i="66"/>
  <c r="EL12" i="66" s="1"/>
  <c r="DV12" i="66"/>
  <c r="EM12" i="66" s="1"/>
  <c r="DS12" i="66"/>
  <c r="EJ12" i="66" s="1"/>
  <c r="DR12" i="66"/>
  <c r="EI12" i="66" s="1"/>
  <c r="EC12" i="66"/>
  <c r="ET12" i="66" s="1"/>
  <c r="DW12" i="66"/>
  <c r="EN12" i="66" s="1"/>
  <c r="EA10" i="66"/>
  <c r="ER10" i="66" s="1"/>
  <c r="DT12" i="66"/>
  <c r="EK12" i="66" s="1"/>
  <c r="EA14" i="66"/>
  <c r="ER14" i="66" s="1"/>
  <c r="DC49" i="66"/>
  <c r="DJ49" i="66"/>
  <c r="DK49" i="66" s="1"/>
  <c r="DH49" i="66"/>
  <c r="DI49" i="66" s="1"/>
  <c r="DF49" i="66"/>
  <c r="DG49" i="66" s="1"/>
  <c r="DD49" i="66"/>
  <c r="DE49" i="66" s="1"/>
  <c r="DZ8" i="66"/>
  <c r="EQ8" i="66" s="1"/>
  <c r="EC8" i="66"/>
  <c r="ET8" i="66" s="1"/>
  <c r="DY8" i="66"/>
  <c r="EP8" i="66" s="1"/>
  <c r="DU8" i="66"/>
  <c r="EL8" i="66" s="1"/>
  <c r="DT8" i="66"/>
  <c r="EK8" i="66" s="1"/>
  <c r="DV8" i="66"/>
  <c r="EM8" i="66" s="1"/>
  <c r="DW10" i="66"/>
  <c r="EN10" i="66" s="1"/>
  <c r="EB8" i="66"/>
  <c r="ES8" i="66" s="1"/>
  <c r="EA8" i="66"/>
  <c r="ER8" i="66" s="1"/>
  <c r="DW14" i="66"/>
  <c r="EN14" i="66" s="1"/>
  <c r="ED8" i="66"/>
  <c r="EU8" i="66" s="1"/>
  <c r="DS8" i="66"/>
  <c r="EJ8" i="66" s="1"/>
  <c r="DR8" i="66"/>
  <c r="EI8" i="66" s="1"/>
  <c r="DW6" i="66"/>
  <c r="EN6" i="66" s="1"/>
  <c r="DN31" i="66"/>
  <c r="DY5" i="66"/>
  <c r="EP5" i="66" s="1"/>
  <c r="EA5" i="66"/>
  <c r="ER5" i="66" s="1"/>
  <c r="DU5" i="66"/>
  <c r="EL5" i="66" s="1"/>
  <c r="EB5" i="66"/>
  <c r="ES5" i="66" s="1"/>
  <c r="DR5" i="66"/>
  <c r="EI5" i="66" s="1"/>
  <c r="DV5" i="66"/>
  <c r="EM5" i="66" s="1"/>
  <c r="DT14" i="66"/>
  <c r="EK14" i="66" s="1"/>
  <c r="ED5" i="66"/>
  <c r="EU5" i="66" s="1"/>
  <c r="DW5" i="66"/>
  <c r="EN5" i="66" s="1"/>
  <c r="DZ5" i="66"/>
  <c r="EQ5" i="66" s="1"/>
  <c r="DT6" i="66"/>
  <c r="EK6" i="66" s="1"/>
  <c r="DS5" i="66"/>
  <c r="EJ5" i="66" s="1"/>
  <c r="EC5" i="66"/>
  <c r="ET5" i="66" s="1"/>
  <c r="EE5" i="66"/>
  <c r="EV5" i="66" s="1"/>
  <c r="DT10" i="66"/>
  <c r="EK10" i="66" s="1"/>
  <c r="DN62" i="66"/>
  <c r="EY16" i="66"/>
  <c r="EY13" i="66"/>
  <c r="DN41" i="66"/>
  <c r="DN59" i="66"/>
  <c r="DN33" i="66"/>
  <c r="DN57" i="66"/>
  <c r="DJ61" i="66"/>
  <c r="DK61" i="66" s="1"/>
  <c r="DF61" i="66"/>
  <c r="DG61" i="66" s="1"/>
  <c r="DH61" i="66"/>
  <c r="DI61" i="66" s="1"/>
  <c r="DD61" i="66"/>
  <c r="DE61" i="66" s="1"/>
  <c r="DC61" i="66"/>
  <c r="DJ53" i="66"/>
  <c r="DK53" i="66" s="1"/>
  <c r="DF53" i="66"/>
  <c r="DG53" i="66" s="1"/>
  <c r="DD53" i="66"/>
  <c r="DE53" i="66" s="1"/>
  <c r="DC53" i="66"/>
  <c r="DH53" i="66"/>
  <c r="DI53" i="66" s="1"/>
  <c r="FE56" i="66"/>
  <c r="FE38" i="66" s="1"/>
  <c r="FH38" i="66" s="1"/>
  <c r="EC17" i="66"/>
  <c r="ET17" i="66" s="1"/>
  <c r="DY17" i="66"/>
  <c r="EP17" i="66" s="1"/>
  <c r="DU17" i="66"/>
  <c r="EL17" i="66" s="1"/>
  <c r="EE17" i="66"/>
  <c r="EV17" i="66" s="1"/>
  <c r="EA17" i="66"/>
  <c r="ER17" i="66" s="1"/>
  <c r="DW17" i="66"/>
  <c r="EN17" i="66" s="1"/>
  <c r="DS17" i="66"/>
  <c r="EJ17" i="66" s="1"/>
  <c r="EB17" i="66"/>
  <c r="ES17" i="66" s="1"/>
  <c r="DT17" i="66"/>
  <c r="EK17" i="66" s="1"/>
  <c r="DZ17" i="66"/>
  <c r="EQ17" i="66" s="1"/>
  <c r="DR17" i="66"/>
  <c r="EI17" i="66" s="1"/>
  <c r="EG17" i="66"/>
  <c r="EX17" i="66" s="1"/>
  <c r="DX17" i="66"/>
  <c r="EO17" i="66" s="1"/>
  <c r="ED17" i="66"/>
  <c r="EU17" i="66" s="1"/>
  <c r="DV17" i="66"/>
  <c r="EM17" i="66" s="1"/>
  <c r="EF3" i="66"/>
  <c r="EW3" i="66" s="1"/>
  <c r="EF6" i="66"/>
  <c r="EW6" i="66" s="1"/>
  <c r="EF11" i="66"/>
  <c r="EW11" i="66" s="1"/>
  <c r="EF12" i="66"/>
  <c r="EW12" i="66" s="1"/>
  <c r="EF4" i="66"/>
  <c r="EW4" i="66" s="1"/>
  <c r="EF5" i="66"/>
  <c r="EW5" i="66" s="1"/>
  <c r="EF10" i="66"/>
  <c r="EW10" i="66" s="1"/>
  <c r="EF7" i="66"/>
  <c r="EW7" i="66" s="1"/>
  <c r="EF14" i="66"/>
  <c r="EW14" i="66" s="1"/>
  <c r="EF8" i="66"/>
  <c r="EW8" i="66" s="1"/>
  <c r="EE9" i="66"/>
  <c r="EV9" i="66" s="1"/>
  <c r="EA9" i="66"/>
  <c r="ER9" i="66" s="1"/>
  <c r="DV9" i="66"/>
  <c r="EM9" i="66" s="1"/>
  <c r="DR9" i="66"/>
  <c r="EI9" i="66" s="1"/>
  <c r="ED9" i="66"/>
  <c r="EU9" i="66" s="1"/>
  <c r="DZ9" i="66"/>
  <c r="EQ9" i="66" s="1"/>
  <c r="DU9" i="66"/>
  <c r="EL9" i="66" s="1"/>
  <c r="EG9" i="66"/>
  <c r="EX9" i="66" s="1"/>
  <c r="EC9" i="66"/>
  <c r="ET9" i="66" s="1"/>
  <c r="DY9" i="66"/>
  <c r="EP9" i="66" s="1"/>
  <c r="DT9" i="66"/>
  <c r="EK9" i="66" s="1"/>
  <c r="DW9" i="66"/>
  <c r="EN9" i="66" s="1"/>
  <c r="DS9" i="66"/>
  <c r="EJ9" i="66" s="1"/>
  <c r="EF9" i="66"/>
  <c r="EW9" i="66" s="1"/>
  <c r="EB9" i="66"/>
  <c r="ES9" i="66" s="1"/>
  <c r="DX6" i="66"/>
  <c r="EO6" i="66" s="1"/>
  <c r="EY6" i="66" s="1"/>
  <c r="DX4" i="66"/>
  <c r="EO4" i="66" s="1"/>
  <c r="DX3" i="66"/>
  <c r="EO3" i="66" s="1"/>
  <c r="EY3" i="66" s="1"/>
  <c r="DX11" i="66"/>
  <c r="EO11" i="66" s="1"/>
  <c r="EY11" i="66" s="1"/>
  <c r="DX12" i="66"/>
  <c r="EO12" i="66" s="1"/>
  <c r="DX8" i="66"/>
  <c r="EO8" i="66" s="1"/>
  <c r="EY8" i="66" s="1"/>
  <c r="DX14" i="66"/>
  <c r="EO14" i="66" s="1"/>
  <c r="EY14" i="66" s="1"/>
  <c r="DX5" i="66"/>
  <c r="EO5" i="66" s="1"/>
  <c r="EY5" i="66" s="1"/>
  <c r="DX10" i="66"/>
  <c r="EO10" i="66" s="1"/>
  <c r="EY10" i="66" s="1"/>
  <c r="DX7" i="66"/>
  <c r="EO7" i="66" s="1"/>
  <c r="FQ38" i="66"/>
  <c r="FP38" i="66"/>
  <c r="EF15" i="66"/>
  <c r="EW15" i="66" s="1"/>
  <c r="EY15" i="66" s="1"/>
  <c r="DX18" i="66"/>
  <c r="EO18" i="66" s="1"/>
  <c r="EY18" i="66" s="1"/>
  <c r="DH44" i="10"/>
  <c r="DI44" i="10" s="1"/>
  <c r="DD44" i="10"/>
  <c r="DE44" i="10" s="1"/>
  <c r="DC44" i="10"/>
  <c r="DF44" i="10"/>
  <c r="DG44" i="10" s="1"/>
  <c r="FC103" i="10"/>
  <c r="FC102" i="10"/>
  <c r="DN19" i="10"/>
  <c r="DO19" i="10" s="1"/>
  <c r="FI43" i="10" s="1"/>
  <c r="FJ43" i="10" s="1"/>
  <c r="DD43" i="10"/>
  <c r="DE43" i="10" s="1"/>
  <c r="DC43" i="10"/>
  <c r="CX63" i="10"/>
  <c r="DJ63" i="10" s="1"/>
  <c r="DK63" i="10" s="1"/>
  <c r="DJ43" i="10"/>
  <c r="DK43" i="10" s="1"/>
  <c r="DH43" i="10"/>
  <c r="DI43" i="10" s="1"/>
  <c r="DF43" i="10"/>
  <c r="DG43" i="10" s="1"/>
  <c r="DN20" i="10"/>
  <c r="DO20" i="10" s="1"/>
  <c r="FI44" i="10" s="1"/>
  <c r="FJ44" i="10" s="1"/>
  <c r="EY3" i="10"/>
  <c r="DL47" i="10" s="1"/>
  <c r="DO47" i="10" s="1"/>
  <c r="DP47" i="10" s="1"/>
  <c r="EY4" i="10"/>
  <c r="DL28" i="10" s="1"/>
  <c r="DO28" i="10" s="1"/>
  <c r="DP28" i="10" s="1"/>
  <c r="EY17" i="10"/>
  <c r="DL61" i="10" s="1"/>
  <c r="EY8" i="10"/>
  <c r="DL8" i="10" s="1"/>
  <c r="DO8" i="10" s="1"/>
  <c r="DP8" i="10" s="1"/>
  <c r="EY16" i="10"/>
  <c r="DL60" i="10" s="1"/>
  <c r="DO60" i="10" s="1"/>
  <c r="DP60" i="10" s="1"/>
  <c r="EY6" i="10"/>
  <c r="DL30" i="10" s="1"/>
  <c r="DO30" i="10" s="1"/>
  <c r="DP30" i="10" s="1"/>
  <c r="EY18" i="10"/>
  <c r="DL62" i="10" s="1"/>
  <c r="DO62" i="10" s="1"/>
  <c r="DP62" i="10" s="1"/>
  <c r="DN61" i="10"/>
  <c r="DN59" i="10"/>
  <c r="EY15" i="10"/>
  <c r="DL59" i="10" s="1"/>
  <c r="EY14" i="10"/>
  <c r="DL38" i="10" s="1"/>
  <c r="DO38" i="10" s="1"/>
  <c r="DP38" i="10" s="1"/>
  <c r="DN55" i="10"/>
  <c r="EY11" i="10"/>
  <c r="DL55" i="10" s="1"/>
  <c r="EY13" i="10"/>
  <c r="EY7" i="10"/>
  <c r="DL51" i="10" s="1"/>
  <c r="EY12" i="10"/>
  <c r="DL56" i="10" s="1"/>
  <c r="DO56" i="10" s="1"/>
  <c r="DP56" i="10" s="1"/>
  <c r="DN54" i="10"/>
  <c r="EY5" i="10"/>
  <c r="EY9" i="10"/>
  <c r="DN51" i="10"/>
  <c r="EY10" i="10"/>
  <c r="DN44" i="10"/>
  <c r="DO44" i="10" s="1"/>
  <c r="DP44" i="10" s="1"/>
  <c r="DH64" i="10"/>
  <c r="DI64" i="10" s="1"/>
  <c r="DD64" i="10"/>
  <c r="DE64" i="10" s="1"/>
  <c r="DC64" i="10"/>
  <c r="DJ64" i="10"/>
  <c r="DK64" i="10" s="1"/>
  <c r="DF64" i="10"/>
  <c r="DG64" i="10" s="1"/>
  <c r="EY4" i="66" l="1"/>
  <c r="DN55" i="66"/>
  <c r="DN52" i="66"/>
  <c r="FS38" i="66"/>
  <c r="DN51" i="66"/>
  <c r="DN47" i="66"/>
  <c r="DN49" i="66"/>
  <c r="DN56" i="66"/>
  <c r="DL42" i="66"/>
  <c r="DO42" i="66" s="1"/>
  <c r="DP42" i="66" s="1"/>
  <c r="DL62" i="66"/>
  <c r="DL18" i="66"/>
  <c r="DO18" i="66" s="1"/>
  <c r="DL58" i="66"/>
  <c r="DO58" i="66" s="1"/>
  <c r="DP58" i="66" s="1"/>
  <c r="DL38" i="66"/>
  <c r="DO38" i="66" s="1"/>
  <c r="DP38" i="66" s="1"/>
  <c r="DL14" i="66"/>
  <c r="DO14" i="66" s="1"/>
  <c r="DL59" i="66"/>
  <c r="DO59" i="66" s="1"/>
  <c r="DP59" i="66" s="1"/>
  <c r="DL39" i="66"/>
  <c r="DO39" i="66" s="1"/>
  <c r="DP39" i="66" s="1"/>
  <c r="DL15" i="66"/>
  <c r="DO15" i="66" s="1"/>
  <c r="EY7" i="66"/>
  <c r="DL52" i="66"/>
  <c r="DO52" i="66" s="1"/>
  <c r="DP52" i="66" s="1"/>
  <c r="DL32" i="66"/>
  <c r="DO32" i="66" s="1"/>
  <c r="DP32" i="66" s="1"/>
  <c r="DL8" i="66"/>
  <c r="DO8" i="66" s="1"/>
  <c r="DL48" i="66"/>
  <c r="DO48" i="66" s="1"/>
  <c r="DP48" i="66" s="1"/>
  <c r="DL28" i="66"/>
  <c r="DO28" i="66" s="1"/>
  <c r="DP28" i="66" s="1"/>
  <c r="DL4" i="66"/>
  <c r="DO4" i="66" s="1"/>
  <c r="EY17" i="66"/>
  <c r="FK38" i="66"/>
  <c r="DL57" i="66"/>
  <c r="DO57" i="66" s="1"/>
  <c r="DP57" i="66" s="1"/>
  <c r="DL37" i="66"/>
  <c r="DO37" i="66" s="1"/>
  <c r="DP37" i="66" s="1"/>
  <c r="DL13" i="66"/>
  <c r="DO13" i="66" s="1"/>
  <c r="DL54" i="66"/>
  <c r="DO54" i="66" s="1"/>
  <c r="DP54" i="66" s="1"/>
  <c r="DL34" i="66"/>
  <c r="DO34" i="66" s="1"/>
  <c r="DP34" i="66" s="1"/>
  <c r="DL10" i="66"/>
  <c r="DO10" i="66" s="1"/>
  <c r="EY12" i="66"/>
  <c r="DL50" i="66"/>
  <c r="DO50" i="66" s="1"/>
  <c r="DP50" i="66" s="1"/>
  <c r="DL30" i="66"/>
  <c r="DO30" i="66" s="1"/>
  <c r="DP30" i="66" s="1"/>
  <c r="DL6" i="66"/>
  <c r="DO6" i="66" s="1"/>
  <c r="FL38" i="66"/>
  <c r="DN53" i="66"/>
  <c r="DL60" i="66"/>
  <c r="DO60" i="66" s="1"/>
  <c r="DP60" i="66" s="1"/>
  <c r="DL40" i="66"/>
  <c r="DO40" i="66" s="1"/>
  <c r="DP40" i="66" s="1"/>
  <c r="DL16" i="66"/>
  <c r="DO16" i="66" s="1"/>
  <c r="DL47" i="66"/>
  <c r="DO47" i="66" s="1"/>
  <c r="DP47" i="66" s="1"/>
  <c r="DL27" i="66"/>
  <c r="DO27" i="66" s="1"/>
  <c r="DP27" i="66" s="1"/>
  <c r="DL3" i="66"/>
  <c r="DO3" i="66" s="1"/>
  <c r="FN38" i="66"/>
  <c r="DL49" i="66"/>
  <c r="DO49" i="66" s="1"/>
  <c r="DP49" i="66" s="1"/>
  <c r="DL29" i="66"/>
  <c r="DO29" i="66" s="1"/>
  <c r="DP29" i="66" s="1"/>
  <c r="DL5" i="66"/>
  <c r="DO5" i="66" s="1"/>
  <c r="DL55" i="66"/>
  <c r="DO55" i="66" s="1"/>
  <c r="DP55" i="66" s="1"/>
  <c r="DL35" i="66"/>
  <c r="DO35" i="66" s="1"/>
  <c r="DP35" i="66" s="1"/>
  <c r="DL11" i="66"/>
  <c r="DO11" i="66" s="1"/>
  <c r="EY9" i="66"/>
  <c r="FM38" i="66"/>
  <c r="DN61" i="66"/>
  <c r="DO62" i="66"/>
  <c r="DP62" i="66" s="1"/>
  <c r="DP19" i="10"/>
  <c r="DL48" i="10"/>
  <c r="DO48" i="10" s="1"/>
  <c r="DP48" i="10" s="1"/>
  <c r="DD63" i="10"/>
  <c r="DE63" i="10" s="1"/>
  <c r="DP20" i="10"/>
  <c r="FD103" i="10" s="1"/>
  <c r="DH63" i="10"/>
  <c r="DI63" i="10" s="1"/>
  <c r="DF63" i="10"/>
  <c r="DG63" i="10" s="1"/>
  <c r="DC63" i="10"/>
  <c r="DN43" i="10"/>
  <c r="DO43" i="10" s="1"/>
  <c r="DP43" i="10" s="1"/>
  <c r="DL41" i="10"/>
  <c r="DO41" i="10" s="1"/>
  <c r="DP41" i="10" s="1"/>
  <c r="DL27" i="10"/>
  <c r="DO27" i="10" s="1"/>
  <c r="DP27" i="10" s="1"/>
  <c r="DL3" i="10"/>
  <c r="DO3" i="10" s="1"/>
  <c r="FI27" i="10" s="1"/>
  <c r="FJ27" i="10" s="1"/>
  <c r="FI32" i="10"/>
  <c r="FJ32" i="10" s="1"/>
  <c r="DL4" i="10"/>
  <c r="DO4" i="10" s="1"/>
  <c r="FI28" i="10" s="1"/>
  <c r="FJ28" i="10" s="1"/>
  <c r="DL17" i="10"/>
  <c r="DO17" i="10" s="1"/>
  <c r="FI41" i="10" s="1"/>
  <c r="FJ41" i="10" s="1"/>
  <c r="DL18" i="10"/>
  <c r="DO18" i="10" s="1"/>
  <c r="DP18" i="10" s="1"/>
  <c r="FD101" i="10" s="1"/>
  <c r="DL32" i="10"/>
  <c r="DO32" i="10" s="1"/>
  <c r="DP32" i="10" s="1"/>
  <c r="DL42" i="10"/>
  <c r="DO42" i="10" s="1"/>
  <c r="DP42" i="10" s="1"/>
  <c r="DL16" i="10"/>
  <c r="DO16" i="10" s="1"/>
  <c r="DL52" i="10"/>
  <c r="DO52" i="10" s="1"/>
  <c r="DP52" i="10" s="1"/>
  <c r="DL6" i="10"/>
  <c r="DO6" i="10" s="1"/>
  <c r="DL40" i="10"/>
  <c r="DO40" i="10" s="1"/>
  <c r="DP40" i="10" s="1"/>
  <c r="DL50" i="10"/>
  <c r="DO50" i="10" s="1"/>
  <c r="DP50" i="10" s="1"/>
  <c r="DL39" i="10"/>
  <c r="DO39" i="10" s="1"/>
  <c r="DP39" i="10" s="1"/>
  <c r="DL15" i="10"/>
  <c r="DO15" i="10" s="1"/>
  <c r="DO61" i="10"/>
  <c r="DP61" i="10" s="1"/>
  <c r="DO59" i="10"/>
  <c r="DP59" i="10" s="1"/>
  <c r="DL14" i="10"/>
  <c r="DO14" i="10" s="1"/>
  <c r="FI38" i="10" s="1"/>
  <c r="FJ38" i="10" s="1"/>
  <c r="DL58" i="10"/>
  <c r="DO58" i="10" s="1"/>
  <c r="DP58" i="10" s="1"/>
  <c r="DP4" i="10"/>
  <c r="FD87" i="10" s="1"/>
  <c r="DO55" i="10"/>
  <c r="DP55" i="10" s="1"/>
  <c r="DP3" i="10"/>
  <c r="FD86" i="10" s="1"/>
  <c r="DL35" i="10"/>
  <c r="DO35" i="10" s="1"/>
  <c r="DP35" i="10" s="1"/>
  <c r="DL11" i="10"/>
  <c r="DO11" i="10" s="1"/>
  <c r="FI35" i="10" s="1"/>
  <c r="FJ35" i="10" s="1"/>
  <c r="DL7" i="10"/>
  <c r="DO7" i="10" s="1"/>
  <c r="DP7" i="10" s="1"/>
  <c r="FD90" i="10" s="1"/>
  <c r="DL13" i="10"/>
  <c r="DO13" i="10" s="1"/>
  <c r="DL37" i="10"/>
  <c r="DO37" i="10" s="1"/>
  <c r="DP37" i="10" s="1"/>
  <c r="DL57" i="10"/>
  <c r="DO57" i="10" s="1"/>
  <c r="DP57" i="10" s="1"/>
  <c r="DL36" i="10"/>
  <c r="DO36" i="10" s="1"/>
  <c r="DP36" i="10" s="1"/>
  <c r="DL31" i="10"/>
  <c r="DO31" i="10" s="1"/>
  <c r="DP31" i="10" s="1"/>
  <c r="DL12" i="10"/>
  <c r="DO12" i="10" s="1"/>
  <c r="FI36" i="10" s="1"/>
  <c r="FJ36" i="10" s="1"/>
  <c r="DL34" i="10"/>
  <c r="DO34" i="10" s="1"/>
  <c r="DP34" i="10" s="1"/>
  <c r="DL54" i="10"/>
  <c r="DO54" i="10" s="1"/>
  <c r="DP54" i="10" s="1"/>
  <c r="DL10" i="10"/>
  <c r="DO10" i="10" s="1"/>
  <c r="DL9" i="10"/>
  <c r="DO9" i="10" s="1"/>
  <c r="DL33" i="10"/>
  <c r="DO33" i="10" s="1"/>
  <c r="DP33" i="10" s="1"/>
  <c r="DL53" i="10"/>
  <c r="DO53" i="10" s="1"/>
  <c r="DP53" i="10" s="1"/>
  <c r="DL29" i="10"/>
  <c r="DO29" i="10" s="1"/>
  <c r="DP29" i="10" s="1"/>
  <c r="DL49" i="10"/>
  <c r="DO49" i="10" s="1"/>
  <c r="DP49" i="10" s="1"/>
  <c r="DL5" i="10"/>
  <c r="DO5" i="10" s="1"/>
  <c r="DO51" i="10"/>
  <c r="DP51" i="10" s="1"/>
  <c r="FD102" i="10"/>
  <c r="DN64" i="10"/>
  <c r="DO64" i="10" s="1"/>
  <c r="DP64" i="10" s="1"/>
  <c r="FD91" i="10"/>
  <c r="DL53" i="66" l="1"/>
  <c r="DL33" i="66"/>
  <c r="DO33" i="66" s="1"/>
  <c r="DP33" i="66" s="1"/>
  <c r="DL9" i="66"/>
  <c r="DO9" i="66" s="1"/>
  <c r="FI29" i="66"/>
  <c r="FJ29" i="66" s="1"/>
  <c r="FO29" i="66" s="1"/>
  <c r="DP5" i="66"/>
  <c r="FI40" i="66"/>
  <c r="FJ40" i="66" s="1"/>
  <c r="FO40" i="66" s="1"/>
  <c r="DP16" i="66"/>
  <c r="DO53" i="66"/>
  <c r="DP53" i="66" s="1"/>
  <c r="DL51" i="66"/>
  <c r="DO51" i="66" s="1"/>
  <c r="DP51" i="66" s="1"/>
  <c r="DL31" i="66"/>
  <c r="DO31" i="66" s="1"/>
  <c r="DP31" i="66" s="1"/>
  <c r="CU29" i="66" s="1"/>
  <c r="DL7" i="66"/>
  <c r="DO7" i="66" s="1"/>
  <c r="FI42" i="66"/>
  <c r="FJ42" i="66" s="1"/>
  <c r="FO42" i="66" s="1"/>
  <c r="DP18" i="66"/>
  <c r="FI35" i="66"/>
  <c r="FJ35" i="66" s="1"/>
  <c r="FO35" i="66" s="1"/>
  <c r="DP11" i="66"/>
  <c r="FI27" i="66"/>
  <c r="FJ27" i="66" s="1"/>
  <c r="FO27" i="66" s="1"/>
  <c r="DP3" i="66"/>
  <c r="DL56" i="66"/>
  <c r="DO56" i="66" s="1"/>
  <c r="DP56" i="66" s="1"/>
  <c r="DL36" i="66"/>
  <c r="DO36" i="66" s="1"/>
  <c r="DP36" i="66" s="1"/>
  <c r="DL12" i="66"/>
  <c r="DO12" i="66" s="1"/>
  <c r="FI37" i="66"/>
  <c r="FJ37" i="66" s="1"/>
  <c r="FO37" i="66" s="1"/>
  <c r="DP13" i="66"/>
  <c r="DL61" i="66"/>
  <c r="DL41" i="66"/>
  <c r="DO41" i="66" s="1"/>
  <c r="DP41" i="66" s="1"/>
  <c r="CU41" i="66" s="1"/>
  <c r="DL17" i="66"/>
  <c r="DO17" i="66" s="1"/>
  <c r="FI32" i="66"/>
  <c r="FJ32" i="66" s="1"/>
  <c r="FO32" i="66" s="1"/>
  <c r="DP8" i="66"/>
  <c r="FI39" i="66"/>
  <c r="FJ39" i="66" s="1"/>
  <c r="FO39" i="66" s="1"/>
  <c r="DP15" i="66"/>
  <c r="FI38" i="66"/>
  <c r="FJ38" i="66" s="1"/>
  <c r="FO38" i="66" s="1"/>
  <c r="DP14" i="66"/>
  <c r="DO61" i="66"/>
  <c r="DP61" i="66" s="1"/>
  <c r="CU58" i="66" s="1"/>
  <c r="CU27" i="66"/>
  <c r="FI30" i="66"/>
  <c r="FJ30" i="66" s="1"/>
  <c r="FO30" i="66" s="1"/>
  <c r="DP6" i="66"/>
  <c r="FI34" i="66"/>
  <c r="FJ34" i="66" s="1"/>
  <c r="FO34" i="66" s="1"/>
  <c r="DP10" i="66"/>
  <c r="FI28" i="66"/>
  <c r="FJ28" i="66" s="1"/>
  <c r="FO28" i="66" s="1"/>
  <c r="DP4" i="66"/>
  <c r="CU39" i="66"/>
  <c r="DN63" i="10"/>
  <c r="DO63" i="10" s="1"/>
  <c r="DP63" i="10" s="1"/>
  <c r="CU64" i="10" s="1"/>
  <c r="FI30" i="10"/>
  <c r="FJ30" i="10" s="1"/>
  <c r="DP6" i="10"/>
  <c r="DP17" i="10"/>
  <c r="FI42" i="10"/>
  <c r="FJ42" i="10" s="1"/>
  <c r="FI40" i="10"/>
  <c r="FJ40" i="10" s="1"/>
  <c r="DP16" i="10"/>
  <c r="DP14" i="10"/>
  <c r="FD97" i="10" s="1"/>
  <c r="FI39" i="10"/>
  <c r="FJ39" i="10" s="1"/>
  <c r="DP15" i="10"/>
  <c r="DP11" i="10"/>
  <c r="FI31" i="10"/>
  <c r="FJ31" i="10" s="1"/>
  <c r="CU42" i="10"/>
  <c r="DP13" i="10"/>
  <c r="FI37" i="10"/>
  <c r="FJ37" i="10" s="1"/>
  <c r="DP12" i="10"/>
  <c r="CU44" i="10"/>
  <c r="CU39" i="10"/>
  <c r="FI29" i="10"/>
  <c r="FJ29" i="10" s="1"/>
  <c r="DP5" i="10"/>
  <c r="CU33" i="10"/>
  <c r="CU34" i="10"/>
  <c r="FI33" i="10"/>
  <c r="FJ33" i="10" s="1"/>
  <c r="DP9" i="10"/>
  <c r="CU43" i="10"/>
  <c r="CU28" i="10"/>
  <c r="CU35" i="10"/>
  <c r="CU30" i="10"/>
  <c r="CU37" i="10"/>
  <c r="CU41" i="10"/>
  <c r="CU29" i="10"/>
  <c r="CU38" i="10"/>
  <c r="CU27" i="10"/>
  <c r="CU32" i="10"/>
  <c r="CU31" i="10"/>
  <c r="CU40" i="10"/>
  <c r="FI34" i="10"/>
  <c r="FJ34" i="10" s="1"/>
  <c r="DP10" i="10"/>
  <c r="CU36" i="10"/>
  <c r="CU63" i="10"/>
  <c r="CU52" i="10"/>
  <c r="CU60" i="10"/>
  <c r="CU51" i="10"/>
  <c r="CU48" i="10"/>
  <c r="CU61" i="10"/>
  <c r="CU58" i="10"/>
  <c r="CU56" i="10"/>
  <c r="CU62" i="10"/>
  <c r="CU50" i="10"/>
  <c r="CU53" i="10"/>
  <c r="CU55" i="10"/>
  <c r="CU47" i="10"/>
  <c r="CU47" i="66" l="1"/>
  <c r="CU44" i="66"/>
  <c r="CU40" i="66"/>
  <c r="CU42" i="66"/>
  <c r="CU35" i="66"/>
  <c r="CU56" i="66"/>
  <c r="CU38" i="66"/>
  <c r="CU37" i="66"/>
  <c r="CU34" i="66"/>
  <c r="EG32" i="66"/>
  <c r="EX32" i="66" s="1"/>
  <c r="EC32" i="66"/>
  <c r="ET32" i="66" s="1"/>
  <c r="DY32" i="66"/>
  <c r="EP32" i="66" s="1"/>
  <c r="DT32" i="66"/>
  <c r="EK32" i="66" s="1"/>
  <c r="EB32" i="66"/>
  <c r="ES32" i="66" s="1"/>
  <c r="DS32" i="66"/>
  <c r="EJ32" i="66" s="1"/>
  <c r="EE32" i="66"/>
  <c r="EV32" i="66" s="1"/>
  <c r="DR32" i="66"/>
  <c r="EI32" i="66" s="1"/>
  <c r="ED32" i="66"/>
  <c r="EU32" i="66" s="1"/>
  <c r="DZ32" i="66"/>
  <c r="EQ32" i="66" s="1"/>
  <c r="DU32" i="66"/>
  <c r="EL32" i="66" s="1"/>
  <c r="FD101" i="66"/>
  <c r="FG18" i="66"/>
  <c r="CU51" i="66"/>
  <c r="CU53" i="66"/>
  <c r="ED29" i="66"/>
  <c r="EU29" i="66" s="1"/>
  <c r="DZ29" i="66"/>
  <c r="EQ29" i="66" s="1"/>
  <c r="EG29" i="66"/>
  <c r="EX29" i="66" s="1"/>
  <c r="EC29" i="66"/>
  <c r="ET29" i="66" s="1"/>
  <c r="DY29" i="66"/>
  <c r="EP29" i="66" s="1"/>
  <c r="DU29" i="66"/>
  <c r="EL29" i="66" s="1"/>
  <c r="EB29" i="66"/>
  <c r="ES29" i="66" s="1"/>
  <c r="DS29" i="66"/>
  <c r="EJ29" i="66" s="1"/>
  <c r="EE29" i="66"/>
  <c r="EV29" i="66" s="1"/>
  <c r="DW29" i="66"/>
  <c r="EN29" i="66" s="1"/>
  <c r="DR29" i="66"/>
  <c r="EI29" i="66" s="1"/>
  <c r="CU52" i="66"/>
  <c r="CU32" i="66"/>
  <c r="FD93" i="66"/>
  <c r="FG10" i="66"/>
  <c r="CU60" i="66"/>
  <c r="CU49" i="66"/>
  <c r="CU30" i="66"/>
  <c r="FD98" i="66"/>
  <c r="FG15" i="66"/>
  <c r="FI41" i="66"/>
  <c r="FJ41" i="66" s="1"/>
  <c r="FO41" i="66" s="1"/>
  <c r="EF32" i="66" s="1"/>
  <c r="EW32" i="66" s="1"/>
  <c r="DP17" i="66"/>
  <c r="DW37" i="66"/>
  <c r="EN37" i="66" s="1"/>
  <c r="DS37" i="66"/>
  <c r="EJ37" i="66" s="1"/>
  <c r="ED37" i="66"/>
  <c r="EU37" i="66" s="1"/>
  <c r="DY37" i="66"/>
  <c r="EP37" i="66" s="1"/>
  <c r="DU37" i="66"/>
  <c r="EL37" i="66" s="1"/>
  <c r="DZ37" i="66"/>
  <c r="EQ37" i="66" s="1"/>
  <c r="DR37" i="66"/>
  <c r="EI37" i="66" s="1"/>
  <c r="EG37" i="66"/>
  <c r="EX37" i="66" s="1"/>
  <c r="EE37" i="66"/>
  <c r="EV37" i="66" s="1"/>
  <c r="EC37" i="66"/>
  <c r="ET37" i="66" s="1"/>
  <c r="DT37" i="66"/>
  <c r="EK37" i="66" s="1"/>
  <c r="FD94" i="66"/>
  <c r="FG11" i="66"/>
  <c r="CU63" i="66"/>
  <c r="EC42" i="66"/>
  <c r="ET42" i="66" s="1"/>
  <c r="DY42" i="66"/>
  <c r="EP42" i="66" s="1"/>
  <c r="DU42" i="66"/>
  <c r="EL42" i="66" s="1"/>
  <c r="EF42" i="66"/>
  <c r="EW42" i="66" s="1"/>
  <c r="EB42" i="66"/>
  <c r="ES42" i="66" s="1"/>
  <c r="DT42" i="66"/>
  <c r="EK42" i="66" s="1"/>
  <c r="EE42" i="66"/>
  <c r="EV42" i="66" s="1"/>
  <c r="DW42" i="66"/>
  <c r="EN42" i="66" s="1"/>
  <c r="DS42" i="66"/>
  <c r="EJ42" i="66" s="1"/>
  <c r="DZ42" i="66"/>
  <c r="EQ42" i="66" s="1"/>
  <c r="DR42" i="66"/>
  <c r="EI42" i="66" s="1"/>
  <c r="ED42" i="66"/>
  <c r="EU42" i="66" s="1"/>
  <c r="CU48" i="66"/>
  <c r="FD99" i="66"/>
  <c r="FG16" i="66"/>
  <c r="FI33" i="66"/>
  <c r="FJ33" i="66" s="1"/>
  <c r="FO33" i="66" s="1"/>
  <c r="DX32" i="66" s="1"/>
  <c r="EO32" i="66" s="1"/>
  <c r="DP9" i="66"/>
  <c r="FD87" i="66"/>
  <c r="FG4" i="66"/>
  <c r="EB34" i="66"/>
  <c r="ES34" i="66" s="1"/>
  <c r="DW34" i="66"/>
  <c r="EN34" i="66" s="1"/>
  <c r="DS34" i="66"/>
  <c r="EJ34" i="66" s="1"/>
  <c r="EE34" i="66"/>
  <c r="EV34" i="66" s="1"/>
  <c r="DR34" i="66"/>
  <c r="EI34" i="66" s="1"/>
  <c r="ED34" i="66"/>
  <c r="EU34" i="66" s="1"/>
  <c r="DZ34" i="66"/>
  <c r="EQ34" i="66" s="1"/>
  <c r="DU34" i="66"/>
  <c r="EL34" i="66" s="1"/>
  <c r="EG34" i="66"/>
  <c r="EX34" i="66" s="1"/>
  <c r="EC34" i="66"/>
  <c r="ET34" i="66" s="1"/>
  <c r="DT34" i="66"/>
  <c r="EK34" i="66" s="1"/>
  <c r="CI35" i="66"/>
  <c r="CH35" i="66"/>
  <c r="CU55" i="66"/>
  <c r="EF39" i="66"/>
  <c r="EW39" i="66" s="1"/>
  <c r="DW39" i="66"/>
  <c r="EN39" i="66" s="1"/>
  <c r="DS39" i="66"/>
  <c r="EJ39" i="66" s="1"/>
  <c r="EB39" i="66"/>
  <c r="ES39" i="66" s="1"/>
  <c r="EG39" i="66"/>
  <c r="EX39" i="66" s="1"/>
  <c r="DZ39" i="66"/>
  <c r="EQ39" i="66" s="1"/>
  <c r="DU39" i="66"/>
  <c r="EL39" i="66" s="1"/>
  <c r="EE39" i="66"/>
  <c r="EV39" i="66" s="1"/>
  <c r="DY39" i="66"/>
  <c r="EP39" i="66" s="1"/>
  <c r="DT39" i="66"/>
  <c r="EK39" i="66" s="1"/>
  <c r="EC39" i="66"/>
  <c r="ET39" i="66" s="1"/>
  <c r="DX39" i="66"/>
  <c r="EO39" i="66" s="1"/>
  <c r="DR39" i="66"/>
  <c r="EI39" i="66" s="1"/>
  <c r="FI36" i="66"/>
  <c r="FJ36" i="66" s="1"/>
  <c r="FO36" i="66" s="1"/>
  <c r="EA39" i="66" s="1"/>
  <c r="ER39" i="66" s="1"/>
  <c r="DP12" i="66"/>
  <c r="FD86" i="66"/>
  <c r="FG3" i="66"/>
  <c r="EE35" i="66"/>
  <c r="EV35" i="66" s="1"/>
  <c r="DR35" i="66"/>
  <c r="EI35" i="66" s="1"/>
  <c r="ED35" i="66"/>
  <c r="EU35" i="66" s="1"/>
  <c r="DY35" i="66"/>
  <c r="EP35" i="66" s="1"/>
  <c r="DU35" i="66"/>
  <c r="EL35" i="66" s="1"/>
  <c r="EG35" i="66"/>
  <c r="EX35" i="66" s="1"/>
  <c r="EC35" i="66"/>
  <c r="ET35" i="66" s="1"/>
  <c r="DX35" i="66"/>
  <c r="EO35" i="66" s="1"/>
  <c r="DT35" i="66"/>
  <c r="EK35" i="66" s="1"/>
  <c r="EF35" i="66"/>
  <c r="EW35" i="66" s="1"/>
  <c r="EB35" i="66"/>
  <c r="ES35" i="66" s="1"/>
  <c r="DW35" i="66"/>
  <c r="EN35" i="66" s="1"/>
  <c r="DS35" i="66"/>
  <c r="EJ35" i="66" s="1"/>
  <c r="CU64" i="66"/>
  <c r="FI31" i="66"/>
  <c r="FJ31" i="66" s="1"/>
  <c r="FO31" i="66" s="1"/>
  <c r="FR37" i="66" s="1"/>
  <c r="DP7" i="66"/>
  <c r="CU54" i="66"/>
  <c r="ED40" i="66"/>
  <c r="EU40" i="66" s="1"/>
  <c r="DZ40" i="66"/>
  <c r="EQ40" i="66" s="1"/>
  <c r="DR40" i="66"/>
  <c r="EI40" i="66" s="1"/>
  <c r="EG40" i="66"/>
  <c r="EX40" i="66" s="1"/>
  <c r="DU40" i="66"/>
  <c r="EL40" i="66" s="1"/>
  <c r="EF40" i="66"/>
  <c r="EW40" i="66" s="1"/>
  <c r="DY40" i="66"/>
  <c r="EP40" i="66" s="1"/>
  <c r="DT40" i="66"/>
  <c r="EK40" i="66" s="1"/>
  <c r="EC40" i="66"/>
  <c r="ET40" i="66" s="1"/>
  <c r="DX40" i="66"/>
  <c r="EO40" i="66" s="1"/>
  <c r="DS40" i="66"/>
  <c r="EJ40" i="66" s="1"/>
  <c r="EB40" i="66"/>
  <c r="ES40" i="66" s="1"/>
  <c r="DW40" i="66"/>
  <c r="EN40" i="66" s="1"/>
  <c r="CU33" i="66"/>
  <c r="CU59" i="66"/>
  <c r="EF30" i="66"/>
  <c r="EW30" i="66" s="1"/>
  <c r="EB30" i="66"/>
  <c r="ES30" i="66" s="1"/>
  <c r="DX30" i="66"/>
  <c r="EO30" i="66" s="1"/>
  <c r="DS30" i="66"/>
  <c r="EJ30" i="66" s="1"/>
  <c r="EE30" i="66"/>
  <c r="EV30" i="66" s="1"/>
  <c r="DW30" i="66"/>
  <c r="EN30" i="66" s="1"/>
  <c r="DR30" i="66"/>
  <c r="EI30" i="66" s="1"/>
  <c r="ED30" i="66"/>
  <c r="EU30" i="66" s="1"/>
  <c r="DZ30" i="66"/>
  <c r="EQ30" i="66" s="1"/>
  <c r="DV30" i="66"/>
  <c r="EM30" i="66" s="1"/>
  <c r="EG30" i="66"/>
  <c r="EX30" i="66" s="1"/>
  <c r="EC30" i="66"/>
  <c r="ET30" i="66" s="1"/>
  <c r="DY30" i="66"/>
  <c r="EP30" i="66" s="1"/>
  <c r="DT30" i="66"/>
  <c r="EK30" i="66" s="1"/>
  <c r="EG38" i="66"/>
  <c r="EX38" i="66" s="1"/>
  <c r="EB38" i="66"/>
  <c r="ES38" i="66" s="1"/>
  <c r="DX38" i="66"/>
  <c r="EO38" i="66" s="1"/>
  <c r="DT38" i="66"/>
  <c r="EK38" i="66" s="1"/>
  <c r="EF38" i="66"/>
  <c r="EW38" i="66" s="1"/>
  <c r="DW38" i="66"/>
  <c r="EN38" i="66" s="1"/>
  <c r="DS38" i="66"/>
  <c r="EJ38" i="66" s="1"/>
  <c r="EE38" i="66"/>
  <c r="EV38" i="66" s="1"/>
  <c r="DZ38" i="66"/>
  <c r="EQ38" i="66" s="1"/>
  <c r="DV38" i="66"/>
  <c r="EM38" i="66" s="1"/>
  <c r="DR38" i="66"/>
  <c r="EI38" i="66" s="1"/>
  <c r="ED38" i="66"/>
  <c r="EU38" i="66" s="1"/>
  <c r="DY38" i="66"/>
  <c r="EP38" i="66" s="1"/>
  <c r="DU38" i="66"/>
  <c r="EL38" i="66" s="1"/>
  <c r="FD96" i="66"/>
  <c r="CS13" i="66"/>
  <c r="FG13" i="66"/>
  <c r="CI96" i="66"/>
  <c r="CI95" i="66"/>
  <c r="CI89" i="66"/>
  <c r="CH95" i="66"/>
  <c r="CH89" i="66"/>
  <c r="CH96" i="66"/>
  <c r="ED28" i="66"/>
  <c r="EU28" i="66" s="1"/>
  <c r="DZ28" i="66"/>
  <c r="EQ28" i="66" s="1"/>
  <c r="DV28" i="66"/>
  <c r="EM28" i="66" s="1"/>
  <c r="EG28" i="66"/>
  <c r="EX28" i="66" s="1"/>
  <c r="EC28" i="66"/>
  <c r="ET28" i="66" s="1"/>
  <c r="DY28" i="66"/>
  <c r="EP28" i="66" s="1"/>
  <c r="DU28" i="66"/>
  <c r="EL28" i="66" s="1"/>
  <c r="EF28" i="66"/>
  <c r="EW28" i="66" s="1"/>
  <c r="EB28" i="66"/>
  <c r="ES28" i="66" s="1"/>
  <c r="DX28" i="66"/>
  <c r="EO28" i="66" s="1"/>
  <c r="DT28" i="66"/>
  <c r="EK28" i="66" s="1"/>
  <c r="EE28" i="66"/>
  <c r="EV28" i="66" s="1"/>
  <c r="EA28" i="66"/>
  <c r="ER28" i="66" s="1"/>
  <c r="DW28" i="66"/>
  <c r="EN28" i="66" s="1"/>
  <c r="DR28" i="66"/>
  <c r="EI28" i="66" s="1"/>
  <c r="FD89" i="66"/>
  <c r="CS6" i="66"/>
  <c r="FG6" i="66"/>
  <c r="CU43" i="66"/>
  <c r="CU61" i="66"/>
  <c r="FD97" i="66"/>
  <c r="CS14" i="66"/>
  <c r="FG14" i="66"/>
  <c r="FD91" i="66"/>
  <c r="CS8" i="66"/>
  <c r="FG8" i="66"/>
  <c r="CU36" i="66"/>
  <c r="EE27" i="66"/>
  <c r="EV27" i="66" s="1"/>
  <c r="EA27" i="66"/>
  <c r="ER27" i="66" s="1"/>
  <c r="DW27" i="66"/>
  <c r="EN27" i="66" s="1"/>
  <c r="DS27" i="66"/>
  <c r="EJ27" i="66" s="1"/>
  <c r="ED27" i="66"/>
  <c r="EU27" i="66" s="1"/>
  <c r="DZ27" i="66"/>
  <c r="EQ27" i="66" s="1"/>
  <c r="DV27" i="66"/>
  <c r="EM27" i="66" s="1"/>
  <c r="FR27" i="66"/>
  <c r="EG27" i="66"/>
  <c r="EX27" i="66" s="1"/>
  <c r="EC27" i="66"/>
  <c r="ET27" i="66" s="1"/>
  <c r="DY27" i="66"/>
  <c r="EP27" i="66" s="1"/>
  <c r="DU27" i="66"/>
  <c r="EL27" i="66" s="1"/>
  <c r="EF27" i="66"/>
  <c r="EW27" i="66" s="1"/>
  <c r="EB27" i="66"/>
  <c r="ES27" i="66" s="1"/>
  <c r="DX27" i="66"/>
  <c r="EO27" i="66" s="1"/>
  <c r="DT27" i="66"/>
  <c r="EK27" i="66" s="1"/>
  <c r="FR44" i="66"/>
  <c r="FT44" i="66" s="1"/>
  <c r="FY44" i="66" s="1"/>
  <c r="FR43" i="66"/>
  <c r="FT43" i="66" s="1"/>
  <c r="FY43" i="66" s="1"/>
  <c r="CU28" i="66"/>
  <c r="CU62" i="66"/>
  <c r="CU31" i="66"/>
  <c r="CU50" i="66"/>
  <c r="FD88" i="66"/>
  <c r="CS5" i="66"/>
  <c r="FG5" i="66"/>
  <c r="CU57" i="66"/>
  <c r="CU59" i="10"/>
  <c r="CU57" i="10"/>
  <c r="CU54" i="10"/>
  <c r="CU49" i="10"/>
  <c r="CI103" i="10" s="1"/>
  <c r="FD89" i="10"/>
  <c r="FD100" i="10"/>
  <c r="FD99" i="10"/>
  <c r="FD95" i="10"/>
  <c r="FD98" i="10"/>
  <c r="FD94" i="10"/>
  <c r="CH34" i="10"/>
  <c r="FD96" i="10"/>
  <c r="CH43" i="10"/>
  <c r="CI32" i="10"/>
  <c r="CH32" i="10"/>
  <c r="CI44" i="10"/>
  <c r="CI34" i="10"/>
  <c r="CH44" i="10"/>
  <c r="CH42" i="10"/>
  <c r="CH37" i="10"/>
  <c r="CI31" i="10"/>
  <c r="CI35" i="10"/>
  <c r="CI39" i="10"/>
  <c r="CH27" i="10"/>
  <c r="CI30" i="10"/>
  <c r="CH41" i="10"/>
  <c r="CI33" i="10"/>
  <c r="CH30" i="10"/>
  <c r="CH31" i="10"/>
  <c r="CH29" i="10"/>
  <c r="CI37" i="10"/>
  <c r="CH33" i="10"/>
  <c r="CI41" i="10"/>
  <c r="CI29" i="10"/>
  <c r="CH39" i="10"/>
  <c r="CI40" i="10"/>
  <c r="CH28" i="10"/>
  <c r="CI27" i="10"/>
  <c r="CI28" i="10"/>
  <c r="CH35" i="10"/>
  <c r="CH38" i="10"/>
  <c r="CH40" i="10"/>
  <c r="CI38" i="10"/>
  <c r="CI42" i="10"/>
  <c r="FD92" i="10"/>
  <c r="CS9" i="10"/>
  <c r="CS10" i="10"/>
  <c r="FD93" i="10"/>
  <c r="CI43" i="10"/>
  <c r="CI36" i="10"/>
  <c r="CH36" i="10"/>
  <c r="CS6" i="10"/>
  <c r="CS17" i="10"/>
  <c r="CS4" i="10"/>
  <c r="CS16" i="10"/>
  <c r="CS8" i="10"/>
  <c r="CS20" i="10"/>
  <c r="CS14" i="10"/>
  <c r="CS7" i="10"/>
  <c r="CS3" i="10"/>
  <c r="CS12" i="10"/>
  <c r="FD88" i="10"/>
  <c r="CS18" i="10"/>
  <c r="CS11" i="10"/>
  <c r="CS13" i="10"/>
  <c r="CS15" i="10"/>
  <c r="CS19" i="10"/>
  <c r="CS5" i="10"/>
  <c r="CI101" i="10"/>
  <c r="CI89" i="10"/>
  <c r="CH101" i="10"/>
  <c r="CH89" i="10"/>
  <c r="CI94" i="10"/>
  <c r="CS15" i="66" l="1"/>
  <c r="CH103" i="66"/>
  <c r="CI90" i="66"/>
  <c r="EA35" i="66"/>
  <c r="ER35" i="66" s="1"/>
  <c r="CH91" i="66"/>
  <c r="CH92" i="66"/>
  <c r="CI97" i="66"/>
  <c r="CH99" i="66"/>
  <c r="CI87" i="66"/>
  <c r="CH44" i="66"/>
  <c r="CH97" i="66"/>
  <c r="CH87" i="66"/>
  <c r="CS20" i="66"/>
  <c r="EY27" i="66"/>
  <c r="FT27" i="66" s="1"/>
  <c r="FY27" i="66" s="1"/>
  <c r="FH14" i="66"/>
  <c r="FI14" i="66"/>
  <c r="EY28" i="66"/>
  <c r="FR28" i="66"/>
  <c r="CH90" i="66"/>
  <c r="CH93" i="66"/>
  <c r="CI93" i="66"/>
  <c r="CI103" i="66"/>
  <c r="CH94" i="66"/>
  <c r="CH100" i="66"/>
  <c r="CI94" i="66"/>
  <c r="CI102" i="66"/>
  <c r="FH13" i="66"/>
  <c r="FJ13" i="66" s="1"/>
  <c r="FI13" i="66"/>
  <c r="EA38" i="66"/>
  <c r="ER38" i="66" s="1"/>
  <c r="EA30" i="66"/>
  <c r="ER30" i="66" s="1"/>
  <c r="FR40" i="66"/>
  <c r="CS19" i="66"/>
  <c r="CH28" i="66"/>
  <c r="CI29" i="66"/>
  <c r="CI32" i="66"/>
  <c r="CI37" i="66"/>
  <c r="CI39" i="66"/>
  <c r="CI38" i="66"/>
  <c r="CH43" i="66"/>
  <c r="CI44" i="66"/>
  <c r="EF34" i="66"/>
  <c r="EW34" i="66" s="1"/>
  <c r="FD92" i="66"/>
  <c r="CS9" i="66"/>
  <c r="FG9" i="66"/>
  <c r="DV42" i="66"/>
  <c r="EM42" i="66" s="1"/>
  <c r="EA42" i="66"/>
  <c r="ER42" i="66" s="1"/>
  <c r="CS11" i="66"/>
  <c r="DV37" i="66"/>
  <c r="EM37" i="66" s="1"/>
  <c r="EA37" i="66"/>
  <c r="ER37" i="66" s="1"/>
  <c r="FH15" i="66"/>
  <c r="FI15" i="66"/>
  <c r="DX29" i="66"/>
  <c r="EO29" i="66" s="1"/>
  <c r="DV29" i="66"/>
  <c r="EM29" i="66" s="1"/>
  <c r="DV32" i="66"/>
  <c r="EM32" i="66" s="1"/>
  <c r="FH8" i="66"/>
  <c r="FI8" i="66"/>
  <c r="FH6" i="66"/>
  <c r="FI6" i="66"/>
  <c r="FJ6" i="66" s="1"/>
  <c r="CI91" i="66"/>
  <c r="CH102" i="66"/>
  <c r="CI104" i="66"/>
  <c r="DV40" i="66"/>
  <c r="EM40" i="66" s="1"/>
  <c r="FR35" i="66"/>
  <c r="FH3" i="66"/>
  <c r="FJ3" i="66" s="1"/>
  <c r="FI3" i="66"/>
  <c r="FR39" i="66"/>
  <c r="CH27" i="66"/>
  <c r="CH29" i="66"/>
  <c r="CH30" i="66"/>
  <c r="CH32" i="66"/>
  <c r="CH33" i="66"/>
  <c r="CH41" i="66"/>
  <c r="CI40" i="66"/>
  <c r="CH39" i="66"/>
  <c r="CI41" i="66"/>
  <c r="FR34" i="66"/>
  <c r="FH4" i="66"/>
  <c r="FI4" i="66"/>
  <c r="FR33" i="66"/>
  <c r="EG33" i="66"/>
  <c r="EX33" i="66" s="1"/>
  <c r="EC33" i="66"/>
  <c r="ET33" i="66" s="1"/>
  <c r="DY33" i="66"/>
  <c r="EP33" i="66" s="1"/>
  <c r="DT33" i="66"/>
  <c r="EK33" i="66" s="1"/>
  <c r="EF33" i="66"/>
  <c r="EW33" i="66" s="1"/>
  <c r="EB33" i="66"/>
  <c r="ES33" i="66" s="1"/>
  <c r="DW33" i="66"/>
  <c r="EN33" i="66" s="1"/>
  <c r="DS33" i="66"/>
  <c r="EJ33" i="66" s="1"/>
  <c r="EE33" i="66"/>
  <c r="EV33" i="66" s="1"/>
  <c r="EA33" i="66"/>
  <c r="ER33" i="66" s="1"/>
  <c r="DV33" i="66"/>
  <c r="EM33" i="66" s="1"/>
  <c r="DR33" i="66"/>
  <c r="EI33" i="66" s="1"/>
  <c r="ED33" i="66"/>
  <c r="EU33" i="66" s="1"/>
  <c r="DZ33" i="66"/>
  <c r="EQ33" i="66" s="1"/>
  <c r="DU33" i="66"/>
  <c r="EL33" i="66" s="1"/>
  <c r="EF37" i="66"/>
  <c r="EW37" i="66" s="1"/>
  <c r="EA29" i="66"/>
  <c r="ER29" i="66" s="1"/>
  <c r="FH18" i="66"/>
  <c r="FI18" i="66"/>
  <c r="FJ18" i="66" s="1"/>
  <c r="EA32" i="66"/>
  <c r="ER32" i="66" s="1"/>
  <c r="CI88" i="66"/>
  <c r="CH98" i="66"/>
  <c r="CI99" i="66"/>
  <c r="CH104" i="66"/>
  <c r="CI98" i="66"/>
  <c r="CH101" i="66"/>
  <c r="EY38" i="66"/>
  <c r="FR38" i="66"/>
  <c r="FT38" i="66" s="1"/>
  <c r="FY38" i="66" s="1"/>
  <c r="EY30" i="66"/>
  <c r="FR30" i="66"/>
  <c r="EA40" i="66"/>
  <c r="ER40" i="66" s="1"/>
  <c r="FD90" i="66"/>
  <c r="CS7" i="66"/>
  <c r="FG7" i="66"/>
  <c r="DV35" i="66"/>
  <c r="EM35" i="66" s="1"/>
  <c r="EY35" i="66" s="1"/>
  <c r="CS3" i="66"/>
  <c r="FD95" i="66"/>
  <c r="CS12" i="66"/>
  <c r="FG12" i="66"/>
  <c r="DV39" i="66"/>
  <c r="EM39" i="66" s="1"/>
  <c r="EY39" i="66" s="1"/>
  <c r="CI30" i="66"/>
  <c r="CH31" i="66"/>
  <c r="CI31" i="66"/>
  <c r="CI33" i="66"/>
  <c r="CH40" i="66"/>
  <c r="CH36" i="66"/>
  <c r="CH42" i="66"/>
  <c r="CI43" i="66"/>
  <c r="DX34" i="66"/>
  <c r="EO34" i="66" s="1"/>
  <c r="DV34" i="66"/>
  <c r="EM34" i="66" s="1"/>
  <c r="CS4" i="66"/>
  <c r="FH16" i="66"/>
  <c r="FJ16" i="66" s="1"/>
  <c r="FI16" i="66"/>
  <c r="FR42" i="66"/>
  <c r="DX37" i="66"/>
  <c r="EO37" i="66" s="1"/>
  <c r="EY37" i="66" s="1"/>
  <c r="FT37" i="66" s="1"/>
  <c r="FY37" i="66" s="1"/>
  <c r="FD100" i="66"/>
  <c r="FA100" i="66" s="1"/>
  <c r="CS17" i="66"/>
  <c r="FG17" i="66"/>
  <c r="FH10" i="66"/>
  <c r="FJ10" i="66" s="1"/>
  <c r="FI10" i="66"/>
  <c r="EF29" i="66"/>
  <c r="EW29" i="66" s="1"/>
  <c r="CS18" i="66"/>
  <c r="FH5" i="66"/>
  <c r="FI5" i="66"/>
  <c r="CH88" i="66"/>
  <c r="CI101" i="66"/>
  <c r="CI92" i="66"/>
  <c r="CI100" i="66"/>
  <c r="EE31" i="66"/>
  <c r="EV31" i="66" s="1"/>
  <c r="EA31" i="66"/>
  <c r="ER31" i="66" s="1"/>
  <c r="DW31" i="66"/>
  <c r="EN31" i="66" s="1"/>
  <c r="DR31" i="66"/>
  <c r="EI31" i="66" s="1"/>
  <c r="FR31" i="66"/>
  <c r="EG31" i="66"/>
  <c r="EX31" i="66" s="1"/>
  <c r="EC31" i="66"/>
  <c r="ET31" i="66" s="1"/>
  <c r="DY31" i="66"/>
  <c r="EP31" i="66" s="1"/>
  <c r="DT31" i="66"/>
  <c r="EK31" i="66" s="1"/>
  <c r="EB31" i="66"/>
  <c r="ES31" i="66" s="1"/>
  <c r="DS31" i="66"/>
  <c r="EJ31" i="66" s="1"/>
  <c r="DZ31" i="66"/>
  <c r="EQ31" i="66" s="1"/>
  <c r="EF31" i="66"/>
  <c r="EW31" i="66" s="1"/>
  <c r="DX31" i="66"/>
  <c r="EO31" i="66" s="1"/>
  <c r="ED31" i="66"/>
  <c r="EU31" i="66" s="1"/>
  <c r="DU31" i="66"/>
  <c r="EL31" i="66" s="1"/>
  <c r="EF36" i="66"/>
  <c r="EW36" i="66" s="1"/>
  <c r="EB36" i="66"/>
  <c r="ES36" i="66" s="1"/>
  <c r="DW36" i="66"/>
  <c r="EN36" i="66" s="1"/>
  <c r="DS36" i="66"/>
  <c r="EJ36" i="66" s="1"/>
  <c r="ED36" i="66"/>
  <c r="EU36" i="66" s="1"/>
  <c r="DY36" i="66"/>
  <c r="EP36" i="66" s="1"/>
  <c r="DU36" i="66"/>
  <c r="EL36" i="66" s="1"/>
  <c r="EE36" i="66"/>
  <c r="EV36" i="66" s="1"/>
  <c r="DV36" i="66"/>
  <c r="EM36" i="66" s="1"/>
  <c r="EC36" i="66"/>
  <c r="ET36" i="66" s="1"/>
  <c r="DT36" i="66"/>
  <c r="EK36" i="66" s="1"/>
  <c r="FR36" i="66"/>
  <c r="DZ36" i="66"/>
  <c r="EQ36" i="66" s="1"/>
  <c r="DR36" i="66"/>
  <c r="EI36" i="66" s="1"/>
  <c r="EG36" i="66"/>
  <c r="EX36" i="66" s="1"/>
  <c r="DX36" i="66"/>
  <c r="EO36" i="66" s="1"/>
  <c r="CI27" i="66"/>
  <c r="CI28" i="66"/>
  <c r="CI34" i="66"/>
  <c r="CI36" i="66"/>
  <c r="CH34" i="66"/>
  <c r="CH38" i="66"/>
  <c r="CH37" i="66"/>
  <c r="CI42" i="66"/>
  <c r="EA34" i="66"/>
  <c r="ER34" i="66" s="1"/>
  <c r="FA87" i="66"/>
  <c r="CS16" i="66"/>
  <c r="DX42" i="66"/>
  <c r="EO42" i="66" s="1"/>
  <c r="EY42" i="66" s="1"/>
  <c r="FH11" i="66"/>
  <c r="FJ11" i="66" s="1"/>
  <c r="FI11" i="66"/>
  <c r="FR41" i="66"/>
  <c r="EG41" i="66"/>
  <c r="EX41" i="66" s="1"/>
  <c r="EB41" i="66"/>
  <c r="ES41" i="66" s="1"/>
  <c r="DX41" i="66"/>
  <c r="EO41" i="66" s="1"/>
  <c r="DT41" i="66"/>
  <c r="EK41" i="66" s="1"/>
  <c r="ED41" i="66"/>
  <c r="EU41" i="66" s="1"/>
  <c r="DZ41" i="66"/>
  <c r="EQ41" i="66" s="1"/>
  <c r="DV41" i="66"/>
  <c r="EM41" i="66" s="1"/>
  <c r="DR41" i="66"/>
  <c r="EI41" i="66" s="1"/>
  <c r="EC41" i="66"/>
  <c r="ET41" i="66" s="1"/>
  <c r="DU41" i="66"/>
  <c r="EL41" i="66" s="1"/>
  <c r="EA41" i="66"/>
  <c r="ER41" i="66" s="1"/>
  <c r="DS41" i="66"/>
  <c r="EJ41" i="66" s="1"/>
  <c r="DY41" i="66"/>
  <c r="EP41" i="66" s="1"/>
  <c r="EE41" i="66"/>
  <c r="EV41" i="66" s="1"/>
  <c r="DW41" i="66"/>
  <c r="EN41" i="66" s="1"/>
  <c r="CS10" i="66"/>
  <c r="EY29" i="66"/>
  <c r="FR29" i="66"/>
  <c r="FA101" i="66"/>
  <c r="EY32" i="66"/>
  <c r="FR32" i="66"/>
  <c r="CH99" i="10"/>
  <c r="CI102" i="10"/>
  <c r="CH94" i="10"/>
  <c r="CH104" i="10"/>
  <c r="CH88" i="10"/>
  <c r="CH91" i="10"/>
  <c r="CI97" i="10"/>
  <c r="CH98" i="10"/>
  <c r="CI88" i="10"/>
  <c r="CI96" i="10"/>
  <c r="CI104" i="10"/>
  <c r="CH93" i="10"/>
  <c r="CI99" i="10"/>
  <c r="CH102" i="10"/>
  <c r="CH96" i="10"/>
  <c r="CI90" i="10"/>
  <c r="CI98" i="10"/>
  <c r="CH87" i="10"/>
  <c r="CH95" i="10"/>
  <c r="CH103" i="10"/>
  <c r="CI93" i="10"/>
  <c r="CH92" i="10"/>
  <c r="CI91" i="10"/>
  <c r="CH90" i="10"/>
  <c r="CH100" i="10"/>
  <c r="CI92" i="10"/>
  <c r="CI100" i="10"/>
  <c r="CH97" i="10"/>
  <c r="CI87" i="10"/>
  <c r="CI95" i="10"/>
  <c r="FA92" i="10"/>
  <c r="CR14" i="10"/>
  <c r="CR13" i="10"/>
  <c r="CR3" i="10"/>
  <c r="CR11" i="10"/>
  <c r="CR9" i="10"/>
  <c r="CR20" i="10"/>
  <c r="CR6" i="10"/>
  <c r="CR12" i="10"/>
  <c r="CR10" i="10"/>
  <c r="CR7" i="10"/>
  <c r="CR16" i="10"/>
  <c r="CR19" i="10"/>
  <c r="CR18" i="10"/>
  <c r="CR17" i="10"/>
  <c r="CR8" i="10"/>
  <c r="CR5" i="10"/>
  <c r="CR4" i="10"/>
  <c r="CR15" i="10"/>
  <c r="FA88" i="10"/>
  <c r="FA87" i="10"/>
  <c r="FA86" i="10"/>
  <c r="FA96" i="10"/>
  <c r="FA102" i="10"/>
  <c r="FA101" i="10"/>
  <c r="FA99" i="10"/>
  <c r="FA97" i="10"/>
  <c r="FA103" i="10"/>
  <c r="FA90" i="10"/>
  <c r="FA98" i="10"/>
  <c r="FA95" i="10"/>
  <c r="FA100" i="10"/>
  <c r="FA94" i="10"/>
  <c r="FA89" i="10"/>
  <c r="FA91" i="10"/>
  <c r="FA93" i="10"/>
  <c r="FA91" i="66" l="1"/>
  <c r="FA98" i="66"/>
  <c r="FJ5" i="66"/>
  <c r="FJ15" i="66"/>
  <c r="FJ14" i="66"/>
  <c r="FA93" i="66"/>
  <c r="FT29" i="66"/>
  <c r="FY29" i="66" s="1"/>
  <c r="EY36" i="66"/>
  <c r="EY40" i="66"/>
  <c r="FJ8" i="66"/>
  <c r="EY34" i="66"/>
  <c r="FJ4" i="66"/>
  <c r="FD66" i="66"/>
  <c r="FD81" i="66"/>
  <c r="FD71" i="66"/>
  <c r="FD67" i="66"/>
  <c r="FD78" i="66"/>
  <c r="FD77" i="66"/>
  <c r="FT32" i="66"/>
  <c r="FY32" i="66" s="1"/>
  <c r="FD79" i="66"/>
  <c r="FA95" i="66"/>
  <c r="FA102" i="66"/>
  <c r="FD69" i="66"/>
  <c r="FA88" i="66"/>
  <c r="FT28" i="66"/>
  <c r="FY28" i="66" s="1"/>
  <c r="EY41" i="66"/>
  <c r="FT41" i="66" s="1"/>
  <c r="FY41" i="66" s="1"/>
  <c r="CR19" i="66"/>
  <c r="CR18" i="66"/>
  <c r="CR17" i="66"/>
  <c r="CR20" i="66"/>
  <c r="CR15" i="66"/>
  <c r="CR11" i="66"/>
  <c r="CR14" i="66"/>
  <c r="CR12" i="66"/>
  <c r="CR8" i="66"/>
  <c r="CR13" i="66"/>
  <c r="CR9" i="66"/>
  <c r="CR16" i="66"/>
  <c r="CR6" i="66"/>
  <c r="CR7" i="66"/>
  <c r="CR5" i="66"/>
  <c r="CR3" i="66"/>
  <c r="CR10" i="66"/>
  <c r="CR4" i="66"/>
  <c r="FA90" i="66"/>
  <c r="FT39" i="66"/>
  <c r="FY39" i="66" s="1"/>
  <c r="FT35" i="66"/>
  <c r="FY35" i="66" s="1"/>
  <c r="FA92" i="66"/>
  <c r="FT40" i="66"/>
  <c r="FY40" i="66" s="1"/>
  <c r="FT36" i="66"/>
  <c r="FY36" i="66" s="1"/>
  <c r="EY31" i="66"/>
  <c r="FT31" i="66" s="1"/>
  <c r="FY31" i="66" s="1"/>
  <c r="FA89" i="66"/>
  <c r="FH17" i="66"/>
  <c r="FJ17" i="66" s="1"/>
  <c r="FI17" i="66"/>
  <c r="FT42" i="66"/>
  <c r="FY42" i="66" s="1"/>
  <c r="FH12" i="66"/>
  <c r="FI12" i="66"/>
  <c r="FA97" i="66"/>
  <c r="FA94" i="66"/>
  <c r="EY33" i="66"/>
  <c r="FT33" i="66" s="1"/>
  <c r="FY33" i="66" s="1"/>
  <c r="FA86" i="66"/>
  <c r="FA99" i="66"/>
  <c r="FD74" i="66"/>
  <c r="FD68" i="66"/>
  <c r="FD73" i="66"/>
  <c r="FH7" i="66"/>
  <c r="FI7" i="66"/>
  <c r="FT30" i="66"/>
  <c r="FY30" i="66" s="1"/>
  <c r="FA96" i="66"/>
  <c r="FT34" i="66"/>
  <c r="FY34" i="66" s="1"/>
  <c r="FA103" i="66"/>
  <c r="FH9" i="66"/>
  <c r="FI9" i="66"/>
  <c r="FD76" i="66"/>
  <c r="CN15" i="10"/>
  <c r="BA24" i="10" s="1"/>
  <c r="CL15" i="10"/>
  <c r="AY24" i="10" s="1"/>
  <c r="CJ15" i="10"/>
  <c r="AW24" i="10" s="1"/>
  <c r="CH15" i="10"/>
  <c r="CM15" i="10"/>
  <c r="AZ24" i="10" s="1"/>
  <c r="CK15" i="10"/>
  <c r="AX24" i="10" s="1"/>
  <c r="CI15" i="10"/>
  <c r="CN13" i="10"/>
  <c r="BA22" i="10" s="1"/>
  <c r="CL13" i="10"/>
  <c r="AY22" i="10" s="1"/>
  <c r="CJ13" i="10"/>
  <c r="AW22" i="10" s="1"/>
  <c r="CH13" i="10"/>
  <c r="CM13" i="10"/>
  <c r="AZ22" i="10" s="1"/>
  <c r="CK13" i="10"/>
  <c r="AX22" i="10" s="1"/>
  <c r="CI13" i="10"/>
  <c r="CI82" i="10"/>
  <c r="CI74" i="10"/>
  <c r="CI83" i="10"/>
  <c r="CI75" i="10"/>
  <c r="CI67" i="10"/>
  <c r="CH79" i="10"/>
  <c r="CH71" i="10"/>
  <c r="CI69" i="10"/>
  <c r="CI77" i="10"/>
  <c r="CH73" i="10"/>
  <c r="CH82" i="10"/>
  <c r="CI84" i="10"/>
  <c r="CI68" i="10"/>
  <c r="CH72" i="10"/>
  <c r="CH77" i="10"/>
  <c r="CH69" i="10"/>
  <c r="CI80" i="10"/>
  <c r="CH76" i="10"/>
  <c r="CH81" i="10"/>
  <c r="CH74" i="10"/>
  <c r="CI76" i="10"/>
  <c r="CH84" i="10"/>
  <c r="CH78" i="10"/>
  <c r="CI72" i="10"/>
  <c r="CI73" i="10"/>
  <c r="CI78" i="10"/>
  <c r="CI70" i="10"/>
  <c r="CI79" i="10"/>
  <c r="CI71" i="10"/>
  <c r="CH83" i="10"/>
  <c r="CH75" i="10"/>
  <c r="CH67" i="10"/>
  <c r="CI81" i="10"/>
  <c r="CH68" i="10"/>
  <c r="CH70" i="10"/>
  <c r="CH80" i="10"/>
  <c r="CK4" i="10"/>
  <c r="AX13" i="10" s="1"/>
  <c r="CH4" i="10"/>
  <c r="CN4" i="10"/>
  <c r="BA13" i="10" s="1"/>
  <c r="CM4" i="10"/>
  <c r="AZ13" i="10" s="1"/>
  <c r="CL4" i="10"/>
  <c r="AY13" i="10" s="1"/>
  <c r="CJ4" i="10"/>
  <c r="AW13" i="10" s="1"/>
  <c r="CI4" i="10"/>
  <c r="CH18" i="10"/>
  <c r="CM18" i="10"/>
  <c r="AZ27" i="10" s="1"/>
  <c r="CK18" i="10"/>
  <c r="AX27" i="10" s="1"/>
  <c r="CI18" i="10"/>
  <c r="CL18" i="10"/>
  <c r="AY27" i="10" s="1"/>
  <c r="CN18" i="10"/>
  <c r="BA27" i="10" s="1"/>
  <c r="CJ18" i="10"/>
  <c r="AW27" i="10" s="1"/>
  <c r="CJ10" i="10"/>
  <c r="AW19" i="10" s="1"/>
  <c r="CM10" i="10"/>
  <c r="AZ19" i="10" s="1"/>
  <c r="CK10" i="10"/>
  <c r="AX19" i="10" s="1"/>
  <c r="CL10" i="10"/>
  <c r="AY19" i="10" s="1"/>
  <c r="CI10" i="10"/>
  <c r="CH10" i="10"/>
  <c r="CN10" i="10"/>
  <c r="BA19" i="10" s="1"/>
  <c r="CH9" i="10"/>
  <c r="CI9" i="10"/>
  <c r="CK9" i="10"/>
  <c r="AX18" i="10" s="1"/>
  <c r="CJ9" i="10"/>
  <c r="AW18" i="10" s="1"/>
  <c r="CL9" i="10"/>
  <c r="AY18" i="10" s="1"/>
  <c r="CM9" i="10"/>
  <c r="AZ18" i="10" s="1"/>
  <c r="CN9" i="10"/>
  <c r="BA18" i="10" s="1"/>
  <c r="CH14" i="10"/>
  <c r="CM14" i="10"/>
  <c r="AZ23" i="10" s="1"/>
  <c r="CK14" i="10"/>
  <c r="AX23" i="10" s="1"/>
  <c r="CI14" i="10"/>
  <c r="CL14" i="10"/>
  <c r="AY23" i="10" s="1"/>
  <c r="CN14" i="10"/>
  <c r="BA23" i="10" s="1"/>
  <c r="CJ14" i="10"/>
  <c r="AW23" i="10" s="1"/>
  <c r="CK7" i="10"/>
  <c r="AX16" i="10" s="1"/>
  <c r="CJ7" i="10"/>
  <c r="AW16" i="10" s="1"/>
  <c r="CN7" i="10"/>
  <c r="BA16" i="10" s="1"/>
  <c r="CM7" i="10"/>
  <c r="AZ16" i="10" s="1"/>
  <c r="CH7" i="10"/>
  <c r="CI7" i="10"/>
  <c r="CL7" i="10"/>
  <c r="AY16" i="10" s="1"/>
  <c r="CH5" i="10"/>
  <c r="CM5" i="10"/>
  <c r="AZ14" i="10" s="1"/>
  <c r="CJ5" i="10"/>
  <c r="AW14" i="10" s="1"/>
  <c r="CK5" i="10"/>
  <c r="AX14" i="10" s="1"/>
  <c r="CN5" i="10"/>
  <c r="BA14" i="10" s="1"/>
  <c r="CI5" i="10"/>
  <c r="CL5" i="10"/>
  <c r="AY14" i="10" s="1"/>
  <c r="CJ19" i="10"/>
  <c r="AW28" i="10" s="1"/>
  <c r="CL19" i="10"/>
  <c r="AY28" i="10" s="1"/>
  <c r="CM19" i="10"/>
  <c r="AZ28" i="10" s="1"/>
  <c r="CN19" i="10"/>
  <c r="BA28" i="10" s="1"/>
  <c r="CK19" i="10"/>
  <c r="AX28" i="10" s="1"/>
  <c r="CI19" i="10"/>
  <c r="CH19" i="10"/>
  <c r="CN12" i="10"/>
  <c r="BA21" i="10" s="1"/>
  <c r="CK12" i="10"/>
  <c r="AX21" i="10" s="1"/>
  <c r="CJ12" i="10"/>
  <c r="AW21" i="10" s="1"/>
  <c r="CI12" i="10"/>
  <c r="CH12" i="10"/>
  <c r="CL12" i="10"/>
  <c r="AY21" i="10" s="1"/>
  <c r="CM12" i="10"/>
  <c r="AZ21" i="10" s="1"/>
  <c r="CK11" i="10"/>
  <c r="AX20" i="10" s="1"/>
  <c r="CN11" i="10"/>
  <c r="BA20" i="10" s="1"/>
  <c r="CI11" i="10"/>
  <c r="CL11" i="10"/>
  <c r="AY20" i="10" s="1"/>
  <c r="CM11" i="10"/>
  <c r="AZ20" i="10" s="1"/>
  <c r="CJ11" i="10"/>
  <c r="AW20" i="10" s="1"/>
  <c r="CH11" i="10"/>
  <c r="CM17" i="10"/>
  <c r="AZ26" i="10" s="1"/>
  <c r="CK17" i="10"/>
  <c r="AX26" i="10" s="1"/>
  <c r="CI17" i="10"/>
  <c r="CH17" i="10"/>
  <c r="CN17" i="10"/>
  <c r="BA26" i="10" s="1"/>
  <c r="CL17" i="10"/>
  <c r="AY26" i="10" s="1"/>
  <c r="CJ17" i="10"/>
  <c r="AW26" i="10" s="1"/>
  <c r="CK20" i="10"/>
  <c r="AX29" i="10" s="1"/>
  <c r="CM20" i="10"/>
  <c r="AZ29" i="10" s="1"/>
  <c r="CH20" i="10"/>
  <c r="CN20" i="10"/>
  <c r="BA29" i="10" s="1"/>
  <c r="CL20" i="10"/>
  <c r="AY29" i="10" s="1"/>
  <c r="CJ20" i="10"/>
  <c r="AW29" i="10" s="1"/>
  <c r="CI20" i="10"/>
  <c r="CH8" i="10"/>
  <c r="CN8" i="10"/>
  <c r="BA17" i="10" s="1"/>
  <c r="CK8" i="10"/>
  <c r="AX17" i="10" s="1"/>
  <c r="CL8" i="10"/>
  <c r="AY17" i="10" s="1"/>
  <c r="CJ8" i="10"/>
  <c r="AW17" i="10" s="1"/>
  <c r="CI8" i="10"/>
  <c r="CM8" i="10"/>
  <c r="AZ17" i="10" s="1"/>
  <c r="CH16" i="10"/>
  <c r="CI16" i="10"/>
  <c r="CL16" i="10"/>
  <c r="AY25" i="10" s="1"/>
  <c r="CK16" i="10"/>
  <c r="AX25" i="10" s="1"/>
  <c r="CM16" i="10"/>
  <c r="AZ25" i="10" s="1"/>
  <c r="CJ16" i="10"/>
  <c r="AW25" i="10" s="1"/>
  <c r="CN16" i="10"/>
  <c r="BA25" i="10" s="1"/>
  <c r="CH6" i="10"/>
  <c r="CK6" i="10"/>
  <c r="AX15" i="10" s="1"/>
  <c r="CM6" i="10"/>
  <c r="AZ15" i="10" s="1"/>
  <c r="CN6" i="10"/>
  <c r="BA15" i="10" s="1"/>
  <c r="CL6" i="10"/>
  <c r="AY15" i="10" s="1"/>
  <c r="CJ6" i="10"/>
  <c r="AW15" i="10" s="1"/>
  <c r="CI6" i="10"/>
  <c r="CM3" i="10"/>
  <c r="AZ12" i="10" s="1"/>
  <c r="CI3" i="10"/>
  <c r="CL3" i="10"/>
  <c r="AY12" i="10" s="1"/>
  <c r="CN3" i="10"/>
  <c r="BA12" i="10" s="1"/>
  <c r="CK3" i="10"/>
  <c r="AX12" i="10" s="1"/>
  <c r="CH3" i="10"/>
  <c r="CJ3" i="10"/>
  <c r="AW12" i="10" s="1"/>
  <c r="FJ7" i="66" l="1"/>
  <c r="EZ38" i="66"/>
  <c r="EZ27" i="66"/>
  <c r="FJ9" i="66"/>
  <c r="EZ33" i="66"/>
  <c r="FJ12" i="66"/>
  <c r="FK20" i="66" s="1"/>
  <c r="FA83" i="66" s="1"/>
  <c r="FO11" i="66"/>
  <c r="FD72" i="66"/>
  <c r="EZ31" i="66"/>
  <c r="EZ29" i="66"/>
  <c r="EZ35" i="66"/>
  <c r="CM4" i="66"/>
  <c r="AZ13" i="66" s="1"/>
  <c r="CI4" i="66"/>
  <c r="CJ4" i="66"/>
  <c r="AW13" i="66" s="1"/>
  <c r="CN4" i="66"/>
  <c r="BA13" i="66" s="1"/>
  <c r="CH4" i="66"/>
  <c r="CL4" i="66"/>
  <c r="AY13" i="66" s="1"/>
  <c r="CK4" i="66"/>
  <c r="AX13" i="66" s="1"/>
  <c r="CK7" i="66"/>
  <c r="AX16" i="66" s="1"/>
  <c r="CM7" i="66"/>
  <c r="AZ16" i="66" s="1"/>
  <c r="CI7" i="66"/>
  <c r="CH7" i="66"/>
  <c r="CN7" i="66"/>
  <c r="BA16" i="66" s="1"/>
  <c r="CL7" i="66"/>
  <c r="AY16" i="66" s="1"/>
  <c r="CJ7" i="66"/>
  <c r="AW16" i="66" s="1"/>
  <c r="CN13" i="66"/>
  <c r="BA22" i="66" s="1"/>
  <c r="CJ13" i="66"/>
  <c r="AW22" i="66" s="1"/>
  <c r="CM13" i="66"/>
  <c r="AZ22" i="66" s="1"/>
  <c r="CI13" i="66"/>
  <c r="CL13" i="66"/>
  <c r="AY22" i="66" s="1"/>
  <c r="CH13" i="66"/>
  <c r="CK13" i="66"/>
  <c r="AX22" i="66" s="1"/>
  <c r="CL11" i="66"/>
  <c r="AY20" i="66" s="1"/>
  <c r="CH11" i="66"/>
  <c r="CK11" i="66"/>
  <c r="AX20" i="66" s="1"/>
  <c r="CN11" i="66"/>
  <c r="BA20" i="66" s="1"/>
  <c r="CJ11" i="66"/>
  <c r="AW20" i="66" s="1"/>
  <c r="CM11" i="66"/>
  <c r="AZ20" i="66" s="1"/>
  <c r="CI11" i="66"/>
  <c r="CL18" i="66"/>
  <c r="AY27" i="66" s="1"/>
  <c r="CH18" i="66"/>
  <c r="CN18" i="66"/>
  <c r="BA27" i="66" s="1"/>
  <c r="CJ18" i="66"/>
  <c r="AW27" i="66" s="1"/>
  <c r="CM18" i="66"/>
  <c r="AZ27" i="66" s="1"/>
  <c r="CK18" i="66"/>
  <c r="AX27" i="66" s="1"/>
  <c r="CI18" i="66"/>
  <c r="EZ34" i="66"/>
  <c r="FD70" i="66"/>
  <c r="FK7" i="66"/>
  <c r="FA70" i="66" s="1"/>
  <c r="FK5" i="66"/>
  <c r="FA68" i="66" s="1"/>
  <c r="FD80" i="66"/>
  <c r="FK17" i="66"/>
  <c r="FA80" i="66" s="1"/>
  <c r="EZ36" i="66"/>
  <c r="EZ39" i="66"/>
  <c r="CK10" i="66"/>
  <c r="AX19" i="66" s="1"/>
  <c r="CN10" i="66"/>
  <c r="BA19" i="66" s="1"/>
  <c r="CJ10" i="66"/>
  <c r="AW19" i="66" s="1"/>
  <c r="CM10" i="66"/>
  <c r="AZ19" i="66" s="1"/>
  <c r="CI10" i="66"/>
  <c r="CH10" i="66"/>
  <c r="CL10" i="66"/>
  <c r="AY19" i="66" s="1"/>
  <c r="CN6" i="66"/>
  <c r="BA15" i="66" s="1"/>
  <c r="CJ6" i="66"/>
  <c r="AW15" i="66" s="1"/>
  <c r="CL6" i="66"/>
  <c r="AY15" i="66" s="1"/>
  <c r="CH6" i="66"/>
  <c r="CM6" i="66"/>
  <c r="AZ15" i="66" s="1"/>
  <c r="CK6" i="66"/>
  <c r="AX15" i="66" s="1"/>
  <c r="CI6" i="66"/>
  <c r="CL8" i="66"/>
  <c r="AY17" i="66" s="1"/>
  <c r="CH8" i="66"/>
  <c r="CN8" i="66"/>
  <c r="BA17" i="66" s="1"/>
  <c r="CJ8" i="66"/>
  <c r="AW17" i="66" s="1"/>
  <c r="CM8" i="66"/>
  <c r="AZ17" i="66" s="1"/>
  <c r="CK8" i="66"/>
  <c r="AX17" i="66" s="1"/>
  <c r="CI8" i="66"/>
  <c r="CL15" i="66"/>
  <c r="AY24" i="66" s="1"/>
  <c r="CH15" i="66"/>
  <c r="CK15" i="66"/>
  <c r="AX24" i="66" s="1"/>
  <c r="CN15" i="66"/>
  <c r="BA24" i="66" s="1"/>
  <c r="CJ15" i="66"/>
  <c r="AW24" i="66" s="1"/>
  <c r="CM15" i="66"/>
  <c r="AZ24" i="66" s="1"/>
  <c r="CI15" i="66"/>
  <c r="CM19" i="66"/>
  <c r="AZ28" i="66" s="1"/>
  <c r="CI19" i="66"/>
  <c r="CL19" i="66"/>
  <c r="AY28" i="66" s="1"/>
  <c r="CH19" i="66"/>
  <c r="CK19" i="66"/>
  <c r="AX28" i="66" s="1"/>
  <c r="CN19" i="66"/>
  <c r="BA28" i="66" s="1"/>
  <c r="CJ19" i="66"/>
  <c r="AW28" i="66" s="1"/>
  <c r="EZ28" i="66"/>
  <c r="EZ32" i="66"/>
  <c r="FK14" i="66"/>
  <c r="FA77" i="66" s="1"/>
  <c r="FK4" i="66"/>
  <c r="FA67" i="66" s="1"/>
  <c r="FK18" i="66"/>
  <c r="FA81" i="66" s="1"/>
  <c r="FK19" i="66"/>
  <c r="FA82" i="66" s="1"/>
  <c r="EZ40" i="66"/>
  <c r="CM3" i="66"/>
  <c r="AZ12" i="66" s="1"/>
  <c r="CI3" i="66"/>
  <c r="CL3" i="66"/>
  <c r="AY12" i="66" s="1"/>
  <c r="CH3" i="66"/>
  <c r="CK3" i="66"/>
  <c r="AX12" i="66" s="1"/>
  <c r="CN3" i="66"/>
  <c r="BA12" i="66" s="1"/>
  <c r="CJ3" i="66"/>
  <c r="AW12" i="66" s="1"/>
  <c r="CK16" i="66"/>
  <c r="AX25" i="66" s="1"/>
  <c r="CM16" i="66"/>
  <c r="AZ25" i="66" s="1"/>
  <c r="CI16" i="66"/>
  <c r="CN16" i="66"/>
  <c r="BA25" i="66" s="1"/>
  <c r="CL16" i="66"/>
  <c r="AY25" i="66" s="1"/>
  <c r="CJ16" i="66"/>
  <c r="AW25" i="66" s="1"/>
  <c r="CH16" i="66"/>
  <c r="CM12" i="66"/>
  <c r="AZ21" i="66" s="1"/>
  <c r="CI12" i="66"/>
  <c r="CL12" i="66"/>
  <c r="AY21" i="66" s="1"/>
  <c r="CH12" i="66"/>
  <c r="CK12" i="66"/>
  <c r="AX21" i="66" s="1"/>
  <c r="CN12" i="66"/>
  <c r="BA21" i="66" s="1"/>
  <c r="CJ12" i="66"/>
  <c r="AW21" i="66" s="1"/>
  <c r="CK20" i="66"/>
  <c r="AX29" i="66" s="1"/>
  <c r="CN20" i="66"/>
  <c r="BA29" i="66" s="1"/>
  <c r="CJ20" i="66"/>
  <c r="AW29" i="66" s="1"/>
  <c r="CM20" i="66"/>
  <c r="AZ29" i="66" s="1"/>
  <c r="CI20" i="66"/>
  <c r="CL20" i="66"/>
  <c r="AY29" i="66" s="1"/>
  <c r="CH20" i="66"/>
  <c r="EZ44" i="66"/>
  <c r="FK3" i="66"/>
  <c r="FA66" i="66" s="1"/>
  <c r="FK13" i="66"/>
  <c r="FA76" i="66" s="1"/>
  <c r="EZ30" i="66"/>
  <c r="FK10" i="66"/>
  <c r="FA73" i="66" s="1"/>
  <c r="FK11" i="66"/>
  <c r="FA74" i="66" s="1"/>
  <c r="CI82" i="66"/>
  <c r="CH81" i="66"/>
  <c r="CI78" i="66"/>
  <c r="CI83" i="66"/>
  <c r="CH82" i="66"/>
  <c r="CI79" i="66"/>
  <c r="CH78" i="66"/>
  <c r="CI84" i="66"/>
  <c r="CH83" i="66"/>
  <c r="CI80" i="66"/>
  <c r="CI81" i="66"/>
  <c r="CI76" i="66"/>
  <c r="CH75" i="66"/>
  <c r="CI72" i="66"/>
  <c r="CH71" i="66"/>
  <c r="CI68" i="66"/>
  <c r="CH67" i="66"/>
  <c r="CH79" i="66"/>
  <c r="CI77" i="66"/>
  <c r="CH76" i="66"/>
  <c r="CI73" i="66"/>
  <c r="CH72" i="66"/>
  <c r="CI69" i="66"/>
  <c r="CH68" i="66"/>
  <c r="CH84" i="66"/>
  <c r="CH80" i="66"/>
  <c r="CH77" i="66"/>
  <c r="CI74" i="66"/>
  <c r="CH73" i="66"/>
  <c r="CI70" i="66"/>
  <c r="CH69" i="66"/>
  <c r="CH74" i="66"/>
  <c r="CI71" i="66"/>
  <c r="CI75" i="66"/>
  <c r="CH70" i="66"/>
  <c r="CI67" i="66"/>
  <c r="EZ42" i="66"/>
  <c r="CN5" i="66"/>
  <c r="BA14" i="66" s="1"/>
  <c r="CJ5" i="66"/>
  <c r="AW14" i="66" s="1"/>
  <c r="CK5" i="66"/>
  <c r="AX14" i="66" s="1"/>
  <c r="CI5" i="66"/>
  <c r="CM5" i="66"/>
  <c r="AZ14" i="66" s="1"/>
  <c r="CH5" i="66"/>
  <c r="CL5" i="66"/>
  <c r="AY14" i="66" s="1"/>
  <c r="CM9" i="66"/>
  <c r="AZ18" i="66" s="1"/>
  <c r="CI9" i="66"/>
  <c r="CL9" i="66"/>
  <c r="AY18" i="66" s="1"/>
  <c r="CH9" i="66"/>
  <c r="CK9" i="66"/>
  <c r="AX18" i="66" s="1"/>
  <c r="CN9" i="66"/>
  <c r="BA18" i="66" s="1"/>
  <c r="CJ9" i="66"/>
  <c r="AW18" i="66" s="1"/>
  <c r="CM14" i="66"/>
  <c r="AZ23" i="66" s="1"/>
  <c r="CI14" i="66"/>
  <c r="CL14" i="66"/>
  <c r="AY23" i="66" s="1"/>
  <c r="CH14" i="66"/>
  <c r="CK14" i="66"/>
  <c r="AX23" i="66" s="1"/>
  <c r="CN14" i="66"/>
  <c r="BA23" i="66" s="1"/>
  <c r="CJ14" i="66"/>
  <c r="AW23" i="66" s="1"/>
  <c r="CL17" i="66"/>
  <c r="AY26" i="66" s="1"/>
  <c r="CH17" i="66"/>
  <c r="CN17" i="66"/>
  <c r="BA26" i="66" s="1"/>
  <c r="CJ17" i="66"/>
  <c r="AW26" i="66" s="1"/>
  <c r="CM17" i="66"/>
  <c r="AZ26" i="66" s="1"/>
  <c r="CK17" i="66"/>
  <c r="AX26" i="66" s="1"/>
  <c r="CI17" i="66"/>
  <c r="EZ41" i="66"/>
  <c r="FK6" i="66"/>
  <c r="FA69" i="66" s="1"/>
  <c r="FK16" i="66"/>
  <c r="FA79" i="66" s="1"/>
  <c r="EZ43" i="66"/>
  <c r="FK15" i="66"/>
  <c r="FA78" i="66" s="1"/>
  <c r="FK8" i="66"/>
  <c r="FA71" i="66" s="1"/>
  <c r="EZ37" i="66"/>
  <c r="CC14" i="10"/>
  <c r="AT23" i="10" s="1"/>
  <c r="CO3" i="10"/>
  <c r="BB12" i="10" s="1"/>
  <c r="CF3" i="10"/>
  <c r="AV12" i="10"/>
  <c r="AV32" i="10" s="1"/>
  <c r="AH32" i="10" s="1"/>
  <c r="CC3" i="10"/>
  <c r="AR8" i="10" s="1"/>
  <c r="AV15" i="10"/>
  <c r="AV33" i="10" s="1"/>
  <c r="AH33" i="10" s="1"/>
  <c r="CO6" i="10"/>
  <c r="BB15" i="10" s="1"/>
  <c r="CF6" i="10"/>
  <c r="CC17" i="10"/>
  <c r="AR7" i="10" s="1"/>
  <c r="CC12" i="10"/>
  <c r="AC6" i="10" s="1"/>
  <c r="AV28" i="10"/>
  <c r="CO19" i="10"/>
  <c r="BB28" i="10" s="1"/>
  <c r="CF19" i="10"/>
  <c r="CC5" i="10"/>
  <c r="AR2" i="10" s="1"/>
  <c r="CC9" i="10"/>
  <c r="AC9" i="10" s="1"/>
  <c r="CC10" i="10"/>
  <c r="AR9" i="10" s="1"/>
  <c r="CC18" i="10"/>
  <c r="AC10" i="10" s="1"/>
  <c r="CC4" i="10"/>
  <c r="AC3" i="10" s="1"/>
  <c r="CC13" i="10"/>
  <c r="AR6" i="10" s="1"/>
  <c r="CF17" i="10"/>
  <c r="CO17" i="10"/>
  <c r="BB26" i="10" s="1"/>
  <c r="AV26" i="10"/>
  <c r="CO10" i="10"/>
  <c r="BB19" i="10" s="1"/>
  <c r="CF10" i="10"/>
  <c r="AV19" i="10"/>
  <c r="AV39" i="10" s="1"/>
  <c r="AH39" i="10" s="1"/>
  <c r="CO18" i="10"/>
  <c r="BB27" i="10" s="1"/>
  <c r="AV27" i="10"/>
  <c r="CF18" i="10"/>
  <c r="CC15" i="10"/>
  <c r="CC8" i="10"/>
  <c r="AC4" i="10" s="1"/>
  <c r="CC20" i="10"/>
  <c r="AR10" i="10" s="1"/>
  <c r="CF20" i="10"/>
  <c r="CO20" i="10"/>
  <c r="BB29" i="10" s="1"/>
  <c r="AV29" i="10"/>
  <c r="CC19" i="10"/>
  <c r="AC7" i="10" s="1"/>
  <c r="CO5" i="10"/>
  <c r="BB14" i="10" s="1"/>
  <c r="AV14" i="10"/>
  <c r="AV37" i="10" s="1"/>
  <c r="AH37" i="10" s="1"/>
  <c r="CF5" i="10"/>
  <c r="CC7" i="10"/>
  <c r="AR5" i="10" s="1"/>
  <c r="CO9" i="10"/>
  <c r="BB18" i="10" s="1"/>
  <c r="AV18" i="10"/>
  <c r="AV35" i="10" s="1"/>
  <c r="AH35" i="10" s="1"/>
  <c r="CF9" i="10"/>
  <c r="CO4" i="10"/>
  <c r="BB13" i="10" s="1"/>
  <c r="CF4" i="10"/>
  <c r="AV13" i="10"/>
  <c r="AV36" i="10" s="1"/>
  <c r="AH36" i="10" s="1"/>
  <c r="CF16" i="10"/>
  <c r="AV25" i="10"/>
  <c r="CO16" i="10"/>
  <c r="BB25" i="10" s="1"/>
  <c r="AV21" i="10"/>
  <c r="CO12" i="10"/>
  <c r="BB21" i="10" s="1"/>
  <c r="CF12" i="10"/>
  <c r="AV22" i="10"/>
  <c r="CF13" i="10"/>
  <c r="CO13" i="10"/>
  <c r="BB22" i="10" s="1"/>
  <c r="CC6" i="10"/>
  <c r="AC8" i="10" s="1"/>
  <c r="CC16" i="10"/>
  <c r="AC2" i="10" s="1"/>
  <c r="CF8" i="10"/>
  <c r="AV17" i="10"/>
  <c r="AV34" i="10" s="1"/>
  <c r="AH34" i="10" s="1"/>
  <c r="CO8" i="10"/>
  <c r="BB17" i="10" s="1"/>
  <c r="CF11" i="10"/>
  <c r="AV20" i="10"/>
  <c r="CO11" i="10"/>
  <c r="BB20" i="10" s="1"/>
  <c r="CC11" i="10"/>
  <c r="AR3" i="10" s="1"/>
  <c r="CF7" i="10"/>
  <c r="AV16" i="10"/>
  <c r="AV38" i="10" s="1"/>
  <c r="AH38" i="10" s="1"/>
  <c r="CO7" i="10"/>
  <c r="BB16" i="10" s="1"/>
  <c r="CO14" i="10"/>
  <c r="BB23" i="10" s="1"/>
  <c r="CF14" i="10"/>
  <c r="AV23" i="10"/>
  <c r="AV24" i="10"/>
  <c r="CF15" i="10"/>
  <c r="CO15" i="10"/>
  <c r="BB24" i="10" s="1"/>
  <c r="II45" i="10" l="1"/>
  <c r="IO45" i="10" s="1"/>
  <c r="AG39" i="10"/>
  <c r="GK35" i="10" s="1"/>
  <c r="FO19" i="66"/>
  <c r="FK12" i="66"/>
  <c r="FA75" i="66" s="1"/>
  <c r="FK9" i="66"/>
  <c r="FA72" i="66" s="1"/>
  <c r="AG33" i="10"/>
  <c r="GK28" i="10" s="1"/>
  <c r="II38" i="10"/>
  <c r="IO38" i="10" s="1"/>
  <c r="FD75" i="66"/>
  <c r="II39" i="10"/>
  <c r="IO39" i="10" s="1"/>
  <c r="AG34" i="10"/>
  <c r="GK29" i="10" s="1"/>
  <c r="II42" i="10"/>
  <c r="IO42" i="10" s="1"/>
  <c r="AG36" i="10"/>
  <c r="GK32" i="10" s="1"/>
  <c r="II40" i="10"/>
  <c r="IO40" i="10" s="1"/>
  <c r="AG35" i="10"/>
  <c r="GK30" i="10" s="1"/>
  <c r="AG37" i="10"/>
  <c r="GK33" i="10" s="1"/>
  <c r="II43" i="10"/>
  <c r="IO43" i="10" s="1"/>
  <c r="CC9" i="66"/>
  <c r="EZ70" i="66"/>
  <c r="AG38" i="10"/>
  <c r="GK34" i="10" s="1"/>
  <c r="II44" i="10"/>
  <c r="IO44" i="10" s="1"/>
  <c r="FD40" i="10"/>
  <c r="FD27" i="10"/>
  <c r="FD42" i="10"/>
  <c r="FD36" i="10"/>
  <c r="FD34" i="10"/>
  <c r="FD28" i="10"/>
  <c r="II37" i="10"/>
  <c r="IO37" i="10" s="1"/>
  <c r="FD44" i="10"/>
  <c r="FD37" i="10"/>
  <c r="FD30" i="10"/>
  <c r="AG32" i="10"/>
  <c r="FD39" i="10"/>
  <c r="FD35" i="10"/>
  <c r="FD29" i="10"/>
  <c r="FD31" i="10"/>
  <c r="FD43" i="10"/>
  <c r="FD33" i="10"/>
  <c r="FD32" i="10"/>
  <c r="FD41" i="10"/>
  <c r="FD38" i="10"/>
  <c r="FP19" i="66"/>
  <c r="FQ19" i="66"/>
  <c r="CC17" i="66"/>
  <c r="CC14" i="66"/>
  <c r="CC5" i="66"/>
  <c r="CC20" i="66"/>
  <c r="AV21" i="66"/>
  <c r="CO12" i="66"/>
  <c r="BB21" i="66" s="1"/>
  <c r="CF12" i="66"/>
  <c r="AV25" i="66"/>
  <c r="CO16" i="66"/>
  <c r="BB25" i="66" s="1"/>
  <c r="CF16" i="66"/>
  <c r="CC16" i="66"/>
  <c r="CC3" i="66"/>
  <c r="CC8" i="66"/>
  <c r="CC10" i="66"/>
  <c r="EZ80" i="66"/>
  <c r="EZ69" i="66"/>
  <c r="CC11" i="66"/>
  <c r="AV22" i="66"/>
  <c r="CO13" i="66"/>
  <c r="BB22" i="66" s="1"/>
  <c r="CF13" i="66"/>
  <c r="FO3" i="66"/>
  <c r="FO13" i="66"/>
  <c r="FO14" i="66"/>
  <c r="FO20" i="66"/>
  <c r="AV26" i="66"/>
  <c r="CO17" i="66"/>
  <c r="BB26" i="66" s="1"/>
  <c r="CF17" i="66"/>
  <c r="AV18" i="66"/>
  <c r="CO9" i="66"/>
  <c r="BB18" i="66" s="1"/>
  <c r="CF9" i="66"/>
  <c r="AV28" i="66"/>
  <c r="CO19" i="66"/>
  <c r="BB28" i="66" s="1"/>
  <c r="CF19" i="66"/>
  <c r="CC15" i="66"/>
  <c r="CD15" i="66" s="1"/>
  <c r="AV17" i="66"/>
  <c r="CO8" i="66"/>
  <c r="BB17" i="66" s="1"/>
  <c r="CF8" i="66"/>
  <c r="EZ71" i="66"/>
  <c r="CC18" i="66"/>
  <c r="AV20" i="66"/>
  <c r="CO11" i="66"/>
  <c r="BB20" i="66" s="1"/>
  <c r="CF11" i="66"/>
  <c r="AV16" i="66"/>
  <c r="CO7" i="66"/>
  <c r="BB16" i="66" s="1"/>
  <c r="CF7" i="66"/>
  <c r="EZ74" i="66"/>
  <c r="EZ75" i="66"/>
  <c r="EZ72" i="66"/>
  <c r="FO4" i="66"/>
  <c r="FO5" i="66"/>
  <c r="FQ11" i="66"/>
  <c r="FP11" i="66"/>
  <c r="FO17" i="66"/>
  <c r="AV23" i="66"/>
  <c r="CO14" i="66"/>
  <c r="BB23" i="66" s="1"/>
  <c r="CF14" i="66"/>
  <c r="AV14" i="66"/>
  <c r="CO5" i="66"/>
  <c r="BB14" i="66" s="1"/>
  <c r="CF5" i="66"/>
  <c r="AV29" i="66"/>
  <c r="CO20" i="66"/>
  <c r="BB29" i="66" s="1"/>
  <c r="CF20" i="66"/>
  <c r="CC12" i="66"/>
  <c r="AV12" i="66"/>
  <c r="CO3" i="66"/>
  <c r="BB12" i="66" s="1"/>
  <c r="CF3" i="66"/>
  <c r="AV24" i="66"/>
  <c r="CO15" i="66"/>
  <c r="BB24" i="66" s="1"/>
  <c r="CF15" i="66"/>
  <c r="AV15" i="66"/>
  <c r="CO6" i="66"/>
  <c r="BB15" i="66" s="1"/>
  <c r="CF6" i="66"/>
  <c r="EZ78" i="66"/>
  <c r="AV27" i="66"/>
  <c r="CO18" i="66"/>
  <c r="BB27" i="66" s="1"/>
  <c r="CF18" i="66"/>
  <c r="CC13" i="66"/>
  <c r="CC7" i="66"/>
  <c r="CC4" i="66"/>
  <c r="CD4" i="66" s="1"/>
  <c r="EZ73" i="66"/>
  <c r="FO10" i="66"/>
  <c r="FO6" i="66"/>
  <c r="FO8" i="66"/>
  <c r="FO15" i="66"/>
  <c r="FO18" i="66"/>
  <c r="CD9" i="66"/>
  <c r="CC19" i="66"/>
  <c r="CD19" i="66" s="1"/>
  <c r="CC6" i="66"/>
  <c r="AV19" i="66"/>
  <c r="CO10" i="66"/>
  <c r="BB19" i="66" s="1"/>
  <c r="CF10" i="66"/>
  <c r="EZ79" i="66"/>
  <c r="AV13" i="66"/>
  <c r="CO4" i="66"/>
  <c r="BB13" i="66" s="1"/>
  <c r="CF4" i="66"/>
  <c r="EZ76" i="66"/>
  <c r="FO7" i="66"/>
  <c r="FO9" i="66"/>
  <c r="FO12" i="66"/>
  <c r="FO16" i="66"/>
  <c r="AC5" i="10"/>
  <c r="AR4" i="10"/>
  <c r="AT16" i="10"/>
  <c r="CD7" i="10"/>
  <c r="AU16" i="10" s="1"/>
  <c r="AT28" i="10"/>
  <c r="CD19" i="10"/>
  <c r="AU28" i="10" s="1"/>
  <c r="CD20" i="10"/>
  <c r="AU29" i="10" s="1"/>
  <c r="AT29" i="10"/>
  <c r="AT13" i="10"/>
  <c r="CD4" i="10"/>
  <c r="AU13" i="10" s="1"/>
  <c r="BW50" i="10"/>
  <c r="BX50" i="10" s="1"/>
  <c r="BW51" i="10"/>
  <c r="BX51" i="10" s="1"/>
  <c r="BW48" i="10"/>
  <c r="BX48" i="10" s="1"/>
  <c r="BW49" i="10"/>
  <c r="BX49" i="10" s="1"/>
  <c r="CD16" i="10"/>
  <c r="AU25" i="10" s="1"/>
  <c r="AT25" i="10"/>
  <c r="AT20" i="10"/>
  <c r="CD11" i="10"/>
  <c r="AU20" i="10" s="1"/>
  <c r="AT15" i="10"/>
  <c r="CD6" i="10"/>
  <c r="AU15" i="10" s="1"/>
  <c r="CD15" i="10"/>
  <c r="AU24" i="10" s="1"/>
  <c r="AT24" i="10"/>
  <c r="CD18" i="10"/>
  <c r="AU27" i="10" s="1"/>
  <c r="AT27" i="10"/>
  <c r="CD10" i="10"/>
  <c r="AU19" i="10" s="1"/>
  <c r="AT19" i="10"/>
  <c r="AT14" i="10"/>
  <c r="CD5" i="10"/>
  <c r="AU14" i="10" s="1"/>
  <c r="CD12" i="10"/>
  <c r="AU21" i="10" s="1"/>
  <c r="AT21" i="10"/>
  <c r="AT17" i="10"/>
  <c r="CD8" i="10"/>
  <c r="AU17" i="10" s="1"/>
  <c r="CD13" i="10"/>
  <c r="AU22" i="10" s="1"/>
  <c r="AT22" i="10"/>
  <c r="AT18" i="10"/>
  <c r="CD9" i="10"/>
  <c r="AU18" i="10" s="1"/>
  <c r="AT26" i="10"/>
  <c r="CD17" i="10"/>
  <c r="AU26" i="10" s="1"/>
  <c r="AT12" i="10"/>
  <c r="CD3" i="10"/>
  <c r="AU12" i="10" s="1"/>
  <c r="CD14" i="10"/>
  <c r="AU23" i="10" s="1"/>
  <c r="CD10" i="66" l="1"/>
  <c r="CD13" i="66"/>
  <c r="FE41" i="10"/>
  <c r="FE39" i="10"/>
  <c r="FE37" i="10"/>
  <c r="FK37" i="10" s="1"/>
  <c r="FE36" i="10"/>
  <c r="GL31" i="10"/>
  <c r="GP32" i="10"/>
  <c r="EZ77" i="66"/>
  <c r="EZ66" i="66"/>
  <c r="EZ68" i="66"/>
  <c r="EZ67" i="66"/>
  <c r="EZ83" i="66"/>
  <c r="EZ81" i="66"/>
  <c r="EZ82" i="66"/>
  <c r="CD6" i="66"/>
  <c r="FE32" i="10"/>
  <c r="FM32" i="10" s="1"/>
  <c r="FE29" i="10"/>
  <c r="FM29" i="10" s="1"/>
  <c r="FC19" i="10"/>
  <c r="FC16" i="10"/>
  <c r="FC11" i="10"/>
  <c r="FC3" i="10"/>
  <c r="FC15" i="10"/>
  <c r="FC9" i="10"/>
  <c r="FC14" i="10"/>
  <c r="FC10" i="10"/>
  <c r="FC13" i="10"/>
  <c r="FC12" i="10"/>
  <c r="FC20" i="10"/>
  <c r="GK27" i="10"/>
  <c r="FC7" i="10"/>
  <c r="FC6" i="10"/>
  <c r="FC8" i="10"/>
  <c r="FC18" i="10"/>
  <c r="FC4" i="10"/>
  <c r="FC17" i="10"/>
  <c r="FC5" i="10"/>
  <c r="FE44" i="10"/>
  <c r="FM44" i="10" s="1"/>
  <c r="FE42" i="10"/>
  <c r="GP34" i="10"/>
  <c r="GN31" i="10"/>
  <c r="GM31" i="10"/>
  <c r="GP33" i="10"/>
  <c r="FE38" i="10"/>
  <c r="FE33" i="10"/>
  <c r="FE31" i="10"/>
  <c r="FE30" i="10"/>
  <c r="FL30" i="10" s="1"/>
  <c r="FE27" i="10"/>
  <c r="FK27" i="10" s="1"/>
  <c r="GP30" i="10"/>
  <c r="GO26" i="10"/>
  <c r="GP29" i="10"/>
  <c r="GN26" i="10"/>
  <c r="GM26" i="10"/>
  <c r="GP28" i="10"/>
  <c r="GO31" i="10"/>
  <c r="GP35" i="10"/>
  <c r="FE43" i="10"/>
  <c r="FE35" i="10"/>
  <c r="FE28" i="10"/>
  <c r="FM28" i="10" s="1"/>
  <c r="FE34" i="10"/>
  <c r="FM34" i="10" s="1"/>
  <c r="FE40" i="10"/>
  <c r="FP12" i="66"/>
  <c r="FQ12" i="66"/>
  <c r="FQ8" i="66"/>
  <c r="FP8" i="66"/>
  <c r="CD12" i="66"/>
  <c r="FQ5" i="66"/>
  <c r="FP5" i="66"/>
  <c r="FQ13" i="66"/>
  <c r="FP13" i="66"/>
  <c r="CD14" i="66"/>
  <c r="CH57" i="66"/>
  <c r="CH48" i="66"/>
  <c r="CH54" i="66"/>
  <c r="CI59" i="66"/>
  <c r="CI47" i="66"/>
  <c r="CI51" i="66"/>
  <c r="CH62" i="66"/>
  <c r="FP9" i="66"/>
  <c r="FQ9" i="66"/>
  <c r="FQ6" i="66"/>
  <c r="FP6" i="66"/>
  <c r="CD7" i="66"/>
  <c r="FQ17" i="66"/>
  <c r="FP17" i="66"/>
  <c r="FP4" i="66"/>
  <c r="FQ4" i="66"/>
  <c r="FQ3" i="66"/>
  <c r="FP3" i="66"/>
  <c r="CD11" i="66"/>
  <c r="CD8" i="66"/>
  <c r="CD17" i="66"/>
  <c r="CH59" i="66"/>
  <c r="CH58" i="66"/>
  <c r="CI60" i="66"/>
  <c r="CI48" i="66"/>
  <c r="CI63" i="66"/>
  <c r="CH63" i="66"/>
  <c r="FP7" i="66"/>
  <c r="FQ7" i="66"/>
  <c r="FQ18" i="66"/>
  <c r="FP18" i="66"/>
  <c r="FQ10" i="66"/>
  <c r="FP10" i="66"/>
  <c r="FQ20" i="66"/>
  <c r="FP20" i="66"/>
  <c r="CD3" i="66"/>
  <c r="CD20" i="66"/>
  <c r="CH53" i="66"/>
  <c r="CH52" i="66"/>
  <c r="CH60" i="66"/>
  <c r="CH61" i="66"/>
  <c r="CH50" i="66"/>
  <c r="CI57" i="66"/>
  <c r="CI61" i="66"/>
  <c r="CI64" i="66"/>
  <c r="FP16" i="66"/>
  <c r="FQ16" i="66"/>
  <c r="FQ15" i="66"/>
  <c r="FP15" i="66"/>
  <c r="BW48" i="66"/>
  <c r="BX48" i="66" s="1"/>
  <c r="BW51" i="66"/>
  <c r="BX51" i="66" s="1"/>
  <c r="BW49" i="66"/>
  <c r="BX49" i="66" s="1"/>
  <c r="BW50" i="66"/>
  <c r="BX50" i="66" s="1"/>
  <c r="CD18" i="66"/>
  <c r="FP14" i="66"/>
  <c r="FQ14" i="66"/>
  <c r="CD16" i="66"/>
  <c r="CD5" i="66"/>
  <c r="CI54" i="66"/>
  <c r="CI53" i="66"/>
  <c r="CI52" i="66"/>
  <c r="CH47" i="66"/>
  <c r="CH51" i="66"/>
  <c r="CI58" i="66"/>
  <c r="CH64" i="66"/>
  <c r="CI50" i="66"/>
  <c r="BL51" i="10"/>
  <c r="BL50" i="10"/>
  <c r="BL49" i="10"/>
  <c r="BL48" i="10"/>
  <c r="AV42" i="10" l="1"/>
  <c r="AH43" i="10" s="1"/>
  <c r="AV43" i="10"/>
  <c r="AH41" i="10" s="1"/>
  <c r="AV41" i="10"/>
  <c r="AH42" i="10" s="1"/>
  <c r="AV40" i="10"/>
  <c r="AH40" i="10" s="1"/>
  <c r="FL36" i="10"/>
  <c r="FM33" i="10"/>
  <c r="FK33" i="10"/>
  <c r="FM43" i="10"/>
  <c r="FK40" i="10"/>
  <c r="FK34" i="10"/>
  <c r="FL38" i="10"/>
  <c r="FL41" i="10"/>
  <c r="FL28" i="10"/>
  <c r="FL40" i="10"/>
  <c r="FM31" i="10"/>
  <c r="FK39" i="10"/>
  <c r="FK43" i="10"/>
  <c r="FL31" i="10"/>
  <c r="FK32" i="10"/>
  <c r="FM37" i="10"/>
  <c r="FL39" i="10"/>
  <c r="FK41" i="10"/>
  <c r="FL34" i="10"/>
  <c r="FK28" i="10"/>
  <c r="FK35" i="10"/>
  <c r="FK38" i="10"/>
  <c r="FM39" i="10"/>
  <c r="BL48" i="66"/>
  <c r="FM40" i="10"/>
  <c r="FL35" i="10"/>
  <c r="FL43" i="10"/>
  <c r="FL27" i="10"/>
  <c r="FK30" i="10"/>
  <c r="FK31" i="10"/>
  <c r="FL33" i="10"/>
  <c r="FM38" i="10"/>
  <c r="FL42" i="10"/>
  <c r="FK44" i="10"/>
  <c r="FL32" i="10"/>
  <c r="FM36" i="10"/>
  <c r="FM41" i="10"/>
  <c r="BL50" i="66"/>
  <c r="FM35" i="10"/>
  <c r="FK42" i="10"/>
  <c r="GP27" i="10"/>
  <c r="GL26" i="10"/>
  <c r="FK29" i="10"/>
  <c r="CH49" i="66"/>
  <c r="CI56" i="66"/>
  <c r="CI49" i="66"/>
  <c r="CH55" i="66"/>
  <c r="CI55" i="66"/>
  <c r="CH56" i="66"/>
  <c r="FK36" i="10"/>
  <c r="FL37" i="10"/>
  <c r="FM27" i="10"/>
  <c r="FM30" i="10"/>
  <c r="FM42" i="10"/>
  <c r="FL44" i="10"/>
  <c r="CI62" i="66"/>
  <c r="FL29" i="10"/>
  <c r="BL49" i="66"/>
  <c r="BL51" i="66"/>
  <c r="II48" i="10" l="1"/>
  <c r="IO48" i="10" s="1"/>
  <c r="IQ50" i="10" s="1"/>
  <c r="F41" i="52" s="1"/>
  <c r="AG41" i="10"/>
  <c r="II50" i="10"/>
  <c r="IO50" i="10" s="1"/>
  <c r="AG43" i="10"/>
  <c r="II49" i="10"/>
  <c r="IO49" i="10" s="1"/>
  <c r="AG42" i="10"/>
  <c r="FF7" i="10"/>
  <c r="FF18" i="10"/>
  <c r="FF10" i="10"/>
  <c r="FF16" i="10"/>
  <c r="FF6" i="10"/>
  <c r="FF12" i="10"/>
  <c r="FF11" i="10"/>
  <c r="FF17" i="10"/>
  <c r="FF3" i="10"/>
  <c r="AG40" i="10"/>
  <c r="FF5" i="10"/>
  <c r="FF8" i="10"/>
  <c r="FF20" i="10"/>
  <c r="FF13" i="10"/>
  <c r="FF4" i="10"/>
  <c r="FF19" i="10"/>
  <c r="FF9" i="10"/>
  <c r="II47" i="10"/>
  <c r="IO47" i="10" s="1"/>
  <c r="IQ47" i="10" s="1"/>
  <c r="C41" i="52" s="1"/>
  <c r="FF15" i="10"/>
  <c r="FF14" i="10"/>
  <c r="FF40" i="10"/>
  <c r="FG40" i="10" s="1"/>
  <c r="FH40" i="10" s="1"/>
  <c r="FF43" i="10"/>
  <c r="FG43" i="10" s="1"/>
  <c r="FH43" i="10" s="1"/>
  <c r="FF41" i="10"/>
  <c r="FG41" i="10" s="1"/>
  <c r="FH41" i="10" s="1"/>
  <c r="FF39" i="10"/>
  <c r="FG39" i="10" s="1"/>
  <c r="FH39" i="10" s="1"/>
  <c r="FF37" i="10"/>
  <c r="FG37" i="10" s="1"/>
  <c r="FH37" i="10" s="1"/>
  <c r="FF32" i="10"/>
  <c r="FG32" i="10" s="1"/>
  <c r="FH32" i="10" s="1"/>
  <c r="FF33" i="10"/>
  <c r="FG33" i="10" s="1"/>
  <c r="FH33" i="10" s="1"/>
  <c r="FF44" i="10"/>
  <c r="FG44" i="10" s="1"/>
  <c r="FH44" i="10" s="1"/>
  <c r="FF34" i="10"/>
  <c r="FG34" i="10" s="1"/>
  <c r="FH34" i="10" s="1"/>
  <c r="FF42" i="10"/>
  <c r="FG42" i="10" s="1"/>
  <c r="FH42" i="10" s="1"/>
  <c r="FF35" i="10"/>
  <c r="FG35" i="10" s="1"/>
  <c r="FH35" i="10" s="1"/>
  <c r="FF31" i="10"/>
  <c r="FG31" i="10" s="1"/>
  <c r="FH31" i="10" s="1"/>
  <c r="FF28" i="10"/>
  <c r="FG28" i="10" s="1"/>
  <c r="FH28" i="10" s="1"/>
  <c r="FF30" i="10"/>
  <c r="FG30" i="10" s="1"/>
  <c r="FH30" i="10" s="1"/>
  <c r="FF29" i="10"/>
  <c r="FG29" i="10" s="1"/>
  <c r="FH29" i="10" s="1"/>
  <c r="FF27" i="10"/>
  <c r="FG27" i="10" s="1"/>
  <c r="FH27" i="10" s="1"/>
  <c r="FF36" i="10"/>
  <c r="FG36" i="10" s="1"/>
  <c r="FH36" i="10" s="1"/>
  <c r="FF38" i="10"/>
  <c r="FG38" i="10" s="1"/>
  <c r="FH38" i="10" s="1"/>
  <c r="IQ48" i="10" l="1"/>
  <c r="D41" i="52" s="1"/>
  <c r="IQ49" i="10"/>
  <c r="E41" i="52" s="1"/>
  <c r="FQ36" i="10"/>
  <c r="FP36" i="10"/>
  <c r="FN36" i="10"/>
  <c r="FO36" i="10" s="1"/>
  <c r="DY36" i="10" s="1"/>
  <c r="EP36" i="10" s="1"/>
  <c r="FQ34" i="10"/>
  <c r="FN34" i="10"/>
  <c r="FO34" i="10" s="1"/>
  <c r="FP34" i="10"/>
  <c r="FS34" i="10" s="1"/>
  <c r="FQ27" i="10"/>
  <c r="FP27" i="10"/>
  <c r="FN27" i="10"/>
  <c r="FO27" i="10" s="1"/>
  <c r="FP31" i="10"/>
  <c r="FQ31" i="10"/>
  <c r="FN31" i="10"/>
  <c r="FO31" i="10" s="1"/>
  <c r="FP44" i="10"/>
  <c r="FQ44" i="10"/>
  <c r="FN44" i="10"/>
  <c r="FO44" i="10" s="1"/>
  <c r="FQ39" i="10"/>
  <c r="FP39" i="10"/>
  <c r="FN39" i="10"/>
  <c r="FO39" i="10" s="1"/>
  <c r="ED27" i="10" s="1"/>
  <c r="EU27" i="10" s="1"/>
  <c r="FQ29" i="10"/>
  <c r="FP29" i="10"/>
  <c r="FS29" i="10" s="1"/>
  <c r="FN29" i="10"/>
  <c r="FO29" i="10" s="1"/>
  <c r="FQ35" i="10"/>
  <c r="FN35" i="10"/>
  <c r="FO35" i="10" s="1"/>
  <c r="FP35" i="10"/>
  <c r="FQ33" i="10"/>
  <c r="FN33" i="10"/>
  <c r="FO33" i="10" s="1"/>
  <c r="DX29" i="10" s="1"/>
  <c r="EO29" i="10" s="1"/>
  <c r="FP33" i="10"/>
  <c r="FS33" i="10" s="1"/>
  <c r="FQ41" i="10"/>
  <c r="FP41" i="10"/>
  <c r="FN41" i="10"/>
  <c r="FO41" i="10" s="1"/>
  <c r="DY41" i="10" s="1"/>
  <c r="EP41" i="10" s="1"/>
  <c r="FP38" i="10"/>
  <c r="FQ38" i="10"/>
  <c r="FN38" i="10"/>
  <c r="FO38" i="10" s="1"/>
  <c r="FP30" i="10"/>
  <c r="FQ30" i="10"/>
  <c r="FN30" i="10"/>
  <c r="FO30" i="10" s="1"/>
  <c r="DU31" i="10" s="1"/>
  <c r="EL31" i="10" s="1"/>
  <c r="FQ42" i="10"/>
  <c r="FN42" i="10"/>
  <c r="FO42" i="10" s="1"/>
  <c r="DX42" i="10" s="1"/>
  <c r="EO42" i="10" s="1"/>
  <c r="FP42" i="10"/>
  <c r="FS42" i="10" s="1"/>
  <c r="FQ32" i="10"/>
  <c r="FP32" i="10"/>
  <c r="FN32" i="10"/>
  <c r="FO32" i="10" s="1"/>
  <c r="DW42" i="10" s="1"/>
  <c r="EN42" i="10" s="1"/>
  <c r="FP43" i="10"/>
  <c r="FQ43" i="10"/>
  <c r="FN43" i="10"/>
  <c r="FO43" i="10" s="1"/>
  <c r="FQ28" i="10"/>
  <c r="FP28" i="10"/>
  <c r="FN28" i="10"/>
  <c r="FO28" i="10" s="1"/>
  <c r="FN37" i="10"/>
  <c r="FO37" i="10" s="1"/>
  <c r="FQ37" i="10"/>
  <c r="FP37" i="10"/>
  <c r="FQ40" i="10"/>
  <c r="FP40" i="10"/>
  <c r="FN40" i="10"/>
  <c r="FO40" i="10" s="1"/>
  <c r="EE34" i="10" s="1"/>
  <c r="EV34" i="10" s="1"/>
  <c r="FD13" i="10"/>
  <c r="FD20" i="10"/>
  <c r="FD6" i="10"/>
  <c r="FD12" i="10"/>
  <c r="FD3" i="10"/>
  <c r="FD4" i="10"/>
  <c r="FD7" i="10"/>
  <c r="FD10" i="10"/>
  <c r="FD18" i="10"/>
  <c r="FD17" i="10"/>
  <c r="FD8" i="10"/>
  <c r="FD9" i="10"/>
  <c r="FD11" i="10"/>
  <c r="FD16" i="10"/>
  <c r="FD15" i="10"/>
  <c r="FD5" i="10"/>
  <c r="FD19" i="10"/>
  <c r="FD14" i="10"/>
  <c r="DR37" i="10"/>
  <c r="EI37" i="10" s="1"/>
  <c r="EB34" i="10"/>
  <c r="ES34" i="10" s="1"/>
  <c r="DY35" i="10"/>
  <c r="EP35" i="10" s="1"/>
  <c r="EF34" i="10"/>
  <c r="EW34" i="10" s="1"/>
  <c r="DV34" i="10"/>
  <c r="EM34" i="10" s="1"/>
  <c r="EA34" i="10"/>
  <c r="ER34" i="10" s="1"/>
  <c r="DR34" i="10"/>
  <c r="EI34" i="10" s="1"/>
  <c r="EA37" i="10"/>
  <c r="ER37" i="10" s="1"/>
  <c r="EC27" i="10"/>
  <c r="ET27" i="10" s="1"/>
  <c r="EB27" i="10"/>
  <c r="ES27" i="10" s="1"/>
  <c r="DY29" i="10"/>
  <c r="EP29" i="10" s="1"/>
  <c r="EB29" i="10"/>
  <c r="ES29" i="10" s="1"/>
  <c r="DR29" i="10"/>
  <c r="EI29" i="10" s="1"/>
  <c r="DR38" i="10"/>
  <c r="EI38" i="10" s="1"/>
  <c r="EC36" i="10"/>
  <c r="ET36" i="10" s="1"/>
  <c r="DW40" i="10"/>
  <c r="EN40" i="10" s="1"/>
  <c r="EC34" i="10"/>
  <c r="ET34" i="10" s="1"/>
  <c r="DZ38" i="10"/>
  <c r="EQ38" i="10" s="1"/>
  <c r="EC29" i="10"/>
  <c r="ET29" i="10" s="1"/>
  <c r="DY38" i="10"/>
  <c r="EP38" i="10" s="1"/>
  <c r="EA38" i="10"/>
  <c r="ER38" i="10" s="1"/>
  <c r="EC37" i="10"/>
  <c r="ET37" i="10" s="1"/>
  <c r="DT38" i="10"/>
  <c r="EK38" i="10" s="1"/>
  <c r="EB38" i="10"/>
  <c r="ES38" i="10" s="1"/>
  <c r="DS36" i="10"/>
  <c r="EJ36" i="10" s="1"/>
  <c r="DU28" i="10"/>
  <c r="EL28" i="10" s="1"/>
  <c r="EA30" i="10"/>
  <c r="ER30" i="10" s="1"/>
  <c r="EB30" i="10"/>
  <c r="ES30" i="10" s="1"/>
  <c r="DY30" i="10"/>
  <c r="EP30" i="10" s="1"/>
  <c r="EE32" i="10"/>
  <c r="EV32" i="10" s="1"/>
  <c r="EE28" i="10"/>
  <c r="EV28" i="10" s="1"/>
  <c r="EG28" i="10"/>
  <c r="EX28" i="10" s="1"/>
  <c r="DU42" i="10" l="1"/>
  <c r="EL42" i="10" s="1"/>
  <c r="FR32" i="10"/>
  <c r="DU32" i="10"/>
  <c r="EL32" i="10" s="1"/>
  <c r="DW34" i="10"/>
  <c r="EN34" i="10" s="1"/>
  <c r="DW39" i="10"/>
  <c r="EN39" i="10" s="1"/>
  <c r="EC41" i="10"/>
  <c r="ET41" i="10" s="1"/>
  <c r="EE37" i="10"/>
  <c r="EV37" i="10" s="1"/>
  <c r="ED41" i="10"/>
  <c r="EU41" i="10" s="1"/>
  <c r="FR43" i="10"/>
  <c r="EG32" i="10"/>
  <c r="EX32" i="10" s="1"/>
  <c r="EF32" i="10"/>
  <c r="EW32" i="10" s="1"/>
  <c r="EB40" i="10"/>
  <c r="ES40" i="10" s="1"/>
  <c r="DY32" i="10"/>
  <c r="EP32" i="10" s="1"/>
  <c r="DR32" i="10"/>
  <c r="EI32" i="10" s="1"/>
  <c r="EF29" i="10"/>
  <c r="EW29" i="10" s="1"/>
  <c r="EF33" i="10"/>
  <c r="EW33" i="10" s="1"/>
  <c r="EC39" i="10"/>
  <c r="ET39" i="10" s="1"/>
  <c r="DW29" i="10"/>
  <c r="EN29" i="10" s="1"/>
  <c r="EF28" i="10"/>
  <c r="EW28" i="10" s="1"/>
  <c r="DX32" i="10"/>
  <c r="EO32" i="10" s="1"/>
  <c r="EB32" i="10"/>
  <c r="ES32" i="10" s="1"/>
  <c r="EC32" i="10"/>
  <c r="ET32" i="10" s="1"/>
  <c r="DS41" i="10"/>
  <c r="EJ41" i="10" s="1"/>
  <c r="DW27" i="10"/>
  <c r="EN27" i="10" s="1"/>
  <c r="EC42" i="10"/>
  <c r="ET42" i="10" s="1"/>
  <c r="EC40" i="10"/>
  <c r="ET40" i="10" s="1"/>
  <c r="EF38" i="10"/>
  <c r="EW38" i="10" s="1"/>
  <c r="EB42" i="10"/>
  <c r="ES42" i="10" s="1"/>
  <c r="EF27" i="10"/>
  <c r="EW27" i="10" s="1"/>
  <c r="ED37" i="10"/>
  <c r="EU37" i="10" s="1"/>
  <c r="DY33" i="10"/>
  <c r="EP33" i="10" s="1"/>
  <c r="DW35" i="10"/>
  <c r="EN35" i="10" s="1"/>
  <c r="EF36" i="10"/>
  <c r="EW36" i="10" s="1"/>
  <c r="EF42" i="10"/>
  <c r="EW42" i="10" s="1"/>
  <c r="EB41" i="10"/>
  <c r="ES41" i="10" s="1"/>
  <c r="EB39" i="10"/>
  <c r="ES39" i="10" s="1"/>
  <c r="DW38" i="10"/>
  <c r="EN38" i="10" s="1"/>
  <c r="FR39" i="10"/>
  <c r="DW31" i="10"/>
  <c r="EN31" i="10" s="1"/>
  <c r="DT32" i="10"/>
  <c r="EK32" i="10" s="1"/>
  <c r="ED32" i="10"/>
  <c r="EU32" i="10" s="1"/>
  <c r="EA32" i="10"/>
  <c r="ER32" i="10" s="1"/>
  <c r="DX30" i="10"/>
  <c r="EO30" i="10" s="1"/>
  <c r="FR42" i="10"/>
  <c r="DW37" i="10"/>
  <c r="EN37" i="10" s="1"/>
  <c r="DW33" i="10"/>
  <c r="EN33" i="10" s="1"/>
  <c r="DU33" i="10"/>
  <c r="EL33" i="10" s="1"/>
  <c r="EG27" i="10"/>
  <c r="EX27" i="10" s="1"/>
  <c r="EG41" i="10"/>
  <c r="EX41" i="10" s="1"/>
  <c r="FR34" i="10"/>
  <c r="EE38" i="10"/>
  <c r="EV38" i="10" s="1"/>
  <c r="DX38" i="10"/>
  <c r="EO38" i="10" s="1"/>
  <c r="EC33" i="10"/>
  <c r="ET33" i="10" s="1"/>
  <c r="DW41" i="10"/>
  <c r="EN41" i="10" s="1"/>
  <c r="DT41" i="10"/>
  <c r="EK41" i="10" s="1"/>
  <c r="DX27" i="10"/>
  <c r="EO27" i="10" s="1"/>
  <c r="DR40" i="10"/>
  <c r="EI40" i="10" s="1"/>
  <c r="FS37" i="10"/>
  <c r="FS28" i="10"/>
  <c r="DZ41" i="10"/>
  <c r="EQ41" i="10" s="1"/>
  <c r="DV37" i="10"/>
  <c r="EM37" i="10" s="1"/>
  <c r="FR44" i="10"/>
  <c r="DS27" i="10"/>
  <c r="EJ27" i="10" s="1"/>
  <c r="EB28" i="10"/>
  <c r="ES28" i="10" s="1"/>
  <c r="DV32" i="10"/>
  <c r="EM32" i="10" s="1"/>
  <c r="DT30" i="10"/>
  <c r="EK30" i="10" s="1"/>
  <c r="DU36" i="10"/>
  <c r="EL36" i="10" s="1"/>
  <c r="DU41" i="10"/>
  <c r="EL41" i="10" s="1"/>
  <c r="FS43" i="10"/>
  <c r="FT43" i="10" s="1"/>
  <c r="FY43" i="10" s="1"/>
  <c r="FS38" i="10"/>
  <c r="DS42" i="10"/>
  <c r="EJ42" i="10" s="1"/>
  <c r="DZ28" i="10"/>
  <c r="EQ28" i="10" s="1"/>
  <c r="EC30" i="10"/>
  <c r="ET30" i="10" s="1"/>
  <c r="DS39" i="10"/>
  <c r="EJ39" i="10" s="1"/>
  <c r="FR35" i="10"/>
  <c r="DU40" i="10"/>
  <c r="EL40" i="10" s="1"/>
  <c r="DS31" i="10"/>
  <c r="EJ31" i="10" s="1"/>
  <c r="FR27" i="10"/>
  <c r="DU38" i="10"/>
  <c r="EL38" i="10" s="1"/>
  <c r="DT28" i="10"/>
  <c r="EK28" i="10" s="1"/>
  <c r="DY28" i="10"/>
  <c r="EP28" i="10" s="1"/>
  <c r="EA28" i="10"/>
  <c r="ER28" i="10" s="1"/>
  <c r="EC28" i="10"/>
  <c r="ET28" i="10" s="1"/>
  <c r="DU37" i="10"/>
  <c r="EL37" i="10" s="1"/>
  <c r="DS32" i="10"/>
  <c r="EJ32" i="10" s="1"/>
  <c r="DZ30" i="10"/>
  <c r="EQ30" i="10" s="1"/>
  <c r="EF30" i="10"/>
  <c r="EW30" i="10" s="1"/>
  <c r="DV30" i="10"/>
  <c r="EM30" i="10" s="1"/>
  <c r="DS30" i="10"/>
  <c r="EJ30" i="10" s="1"/>
  <c r="FR36" i="10"/>
  <c r="FR31" i="10"/>
  <c r="DS37" i="10"/>
  <c r="EJ37" i="10" s="1"/>
  <c r="FR33" i="10"/>
  <c r="EC31" i="10"/>
  <c r="ET31" i="10" s="1"/>
  <c r="DV38" i="10"/>
  <c r="EM38" i="10" s="1"/>
  <c r="EC35" i="10"/>
  <c r="ET35" i="10" s="1"/>
  <c r="DW36" i="10"/>
  <c r="EN36" i="10" s="1"/>
  <c r="DV29" i="10"/>
  <c r="EM29" i="10" s="1"/>
  <c r="DZ37" i="10"/>
  <c r="EQ37" i="10" s="1"/>
  <c r="EF35" i="10"/>
  <c r="EW35" i="10" s="1"/>
  <c r="DS33" i="10"/>
  <c r="EJ33" i="10" s="1"/>
  <c r="DX28" i="10"/>
  <c r="EO28" i="10" s="1"/>
  <c r="ED28" i="10"/>
  <c r="EU28" i="10" s="1"/>
  <c r="DU29" i="10"/>
  <c r="EL29" i="10" s="1"/>
  <c r="EE30" i="10"/>
  <c r="EV30" i="10" s="1"/>
  <c r="EG30" i="10"/>
  <c r="EX30" i="10" s="1"/>
  <c r="DS38" i="10"/>
  <c r="EJ38" i="10" s="1"/>
  <c r="DU27" i="10"/>
  <c r="EL27" i="10" s="1"/>
  <c r="FR29" i="10"/>
  <c r="FR37" i="10"/>
  <c r="FR38" i="10"/>
  <c r="DS40" i="10"/>
  <c r="EJ40" i="10" s="1"/>
  <c r="FR28" i="10"/>
  <c r="DV28" i="10"/>
  <c r="EM28" i="10" s="1"/>
  <c r="DW28" i="10"/>
  <c r="EN28" i="10" s="1"/>
  <c r="DR28" i="10"/>
  <c r="EI28" i="10" s="1"/>
  <c r="DS34" i="10"/>
  <c r="EJ34" i="10" s="1"/>
  <c r="DZ32" i="10"/>
  <c r="EQ32" i="10" s="1"/>
  <c r="FR30" i="10"/>
  <c r="DR30" i="10"/>
  <c r="EI30" i="10" s="1"/>
  <c r="ED30" i="10"/>
  <c r="EU30" i="10" s="1"/>
  <c r="DW30" i="10"/>
  <c r="EN30" i="10" s="1"/>
  <c r="DS35" i="10"/>
  <c r="EJ35" i="10" s="1"/>
  <c r="DS29" i="10"/>
  <c r="EJ29" i="10" s="1"/>
  <c r="FR40" i="10"/>
  <c r="FR41" i="10"/>
  <c r="DU34" i="10"/>
  <c r="EL34" i="10" s="1"/>
  <c r="EA29" i="10"/>
  <c r="ER29" i="10" s="1"/>
  <c r="DU35" i="10"/>
  <c r="EL35" i="10" s="1"/>
  <c r="DY31" i="10"/>
  <c r="EP31" i="10" s="1"/>
  <c r="FS40" i="10"/>
  <c r="FS32" i="10"/>
  <c r="FS41" i="10"/>
  <c r="FS39" i="10"/>
  <c r="FS35" i="10"/>
  <c r="FS44" i="10"/>
  <c r="FT44" i="10" s="1"/>
  <c r="FY44" i="10" s="1"/>
  <c r="DX37" i="10"/>
  <c r="EO37" i="10" s="1"/>
  <c r="DT37" i="10"/>
  <c r="EK37" i="10" s="1"/>
  <c r="EG37" i="10"/>
  <c r="EX37" i="10" s="1"/>
  <c r="FC77" i="10"/>
  <c r="FM14" i="10"/>
  <c r="FG14" i="10"/>
  <c r="FI14" i="10" s="1"/>
  <c r="FG16" i="10"/>
  <c r="FI16" i="10" s="1"/>
  <c r="FM16" i="10"/>
  <c r="FC79" i="10"/>
  <c r="FG17" i="10"/>
  <c r="FI17" i="10" s="1"/>
  <c r="FC80" i="10"/>
  <c r="BJ40" i="10" s="1"/>
  <c r="FM17" i="10"/>
  <c r="FC67" i="10"/>
  <c r="BJ42" i="10" s="1"/>
  <c r="FM4" i="10"/>
  <c r="FG4" i="10"/>
  <c r="FI4" i="10" s="1"/>
  <c r="FM20" i="10"/>
  <c r="FG20" i="10"/>
  <c r="FC83" i="10"/>
  <c r="DT31" i="10"/>
  <c r="EK31" i="10" s="1"/>
  <c r="DZ31" i="10"/>
  <c r="EQ31" i="10" s="1"/>
  <c r="DX31" i="10"/>
  <c r="EO31" i="10" s="1"/>
  <c r="EG31" i="10"/>
  <c r="EX31" i="10" s="1"/>
  <c r="EA31" i="10"/>
  <c r="ER31" i="10" s="1"/>
  <c r="EE31" i="10"/>
  <c r="EV31" i="10" s="1"/>
  <c r="ED31" i="10"/>
  <c r="EU31" i="10" s="1"/>
  <c r="FS27" i="10"/>
  <c r="FC82" i="10"/>
  <c r="FM19" i="10"/>
  <c r="FG19" i="10"/>
  <c r="FI19" i="10" s="1"/>
  <c r="FC74" i="10"/>
  <c r="BJ43" i="10" s="1"/>
  <c r="FG11" i="10"/>
  <c r="FM11" i="10"/>
  <c r="FC81" i="10"/>
  <c r="FM18" i="10"/>
  <c r="FG18" i="10"/>
  <c r="FI18" i="10" s="1"/>
  <c r="FM3" i="10"/>
  <c r="FG3" i="10"/>
  <c r="FI3" i="10" s="1"/>
  <c r="FC66" i="10"/>
  <c r="FC76" i="10"/>
  <c r="FM13" i="10"/>
  <c r="FG13" i="10"/>
  <c r="FI13" i="10" s="1"/>
  <c r="EG35" i="10"/>
  <c r="EX35" i="10" s="1"/>
  <c r="DX35" i="10"/>
  <c r="EO35" i="10" s="1"/>
  <c r="EB35" i="10"/>
  <c r="ES35" i="10" s="1"/>
  <c r="EE35" i="10"/>
  <c r="EV35" i="10" s="1"/>
  <c r="EA35" i="10"/>
  <c r="ER35" i="10" s="1"/>
  <c r="ED35" i="10"/>
  <c r="EU35" i="10" s="1"/>
  <c r="DR35" i="10"/>
  <c r="EI35" i="10" s="1"/>
  <c r="DT35" i="10"/>
  <c r="EK35" i="10" s="1"/>
  <c r="DV35" i="10"/>
  <c r="EM35" i="10" s="1"/>
  <c r="DZ36" i="10"/>
  <c r="EQ36" i="10" s="1"/>
  <c r="DR36" i="10"/>
  <c r="EI36" i="10" s="1"/>
  <c r="DT36" i="10"/>
  <c r="EK36" i="10" s="1"/>
  <c r="EE36" i="10"/>
  <c r="EV36" i="10" s="1"/>
  <c r="EG36" i="10"/>
  <c r="EX36" i="10" s="1"/>
  <c r="ED36" i="10"/>
  <c r="EU36" i="10" s="1"/>
  <c r="DX36" i="10"/>
  <c r="EO36" i="10" s="1"/>
  <c r="DV36" i="10"/>
  <c r="EM36" i="10" s="1"/>
  <c r="EB36" i="10"/>
  <c r="ES36" i="10" s="1"/>
  <c r="FC68" i="10"/>
  <c r="FG5" i="10"/>
  <c r="FI5" i="10" s="1"/>
  <c r="FM5" i="10"/>
  <c r="FM9" i="10"/>
  <c r="FC72" i="10"/>
  <c r="BJ41" i="10" s="1"/>
  <c r="FG9" i="10"/>
  <c r="FI9" i="10" s="1"/>
  <c r="FC73" i="10"/>
  <c r="FM10" i="10"/>
  <c r="FG10" i="10"/>
  <c r="FI10" i="10" s="1"/>
  <c r="FC75" i="10"/>
  <c r="FG12" i="10"/>
  <c r="FI12" i="10" s="1"/>
  <c r="FM12" i="10"/>
  <c r="DT40" i="10"/>
  <c r="EK40" i="10" s="1"/>
  <c r="DV40" i="10"/>
  <c r="EM40" i="10" s="1"/>
  <c r="DZ40" i="10"/>
  <c r="EQ40" i="10" s="1"/>
  <c r="EG40" i="10"/>
  <c r="EX40" i="10" s="1"/>
  <c r="DX40" i="10"/>
  <c r="EO40" i="10" s="1"/>
  <c r="EA40" i="10"/>
  <c r="ER40" i="10" s="1"/>
  <c r="DY40" i="10"/>
  <c r="EP40" i="10" s="1"/>
  <c r="EF40" i="10"/>
  <c r="EW40" i="10" s="1"/>
  <c r="ED40" i="10"/>
  <c r="EU40" i="10" s="1"/>
  <c r="EA42" i="10"/>
  <c r="ER42" i="10" s="1"/>
  <c r="EE42" i="10"/>
  <c r="EV42" i="10" s="1"/>
  <c r="DZ42" i="10"/>
  <c r="EQ42" i="10" s="1"/>
  <c r="ED42" i="10"/>
  <c r="EU42" i="10" s="1"/>
  <c r="DV42" i="10"/>
  <c r="EM42" i="10" s="1"/>
  <c r="DT42" i="10"/>
  <c r="EK42" i="10" s="1"/>
  <c r="DR42" i="10"/>
  <c r="EI42" i="10" s="1"/>
  <c r="DY42" i="10"/>
  <c r="EP42" i="10" s="1"/>
  <c r="FS30" i="10"/>
  <c r="EF31" i="10"/>
  <c r="EW31" i="10" s="1"/>
  <c r="EA41" i="10"/>
  <c r="ER41" i="10" s="1"/>
  <c r="DX41" i="10"/>
  <c r="EO41" i="10" s="1"/>
  <c r="DR41" i="10"/>
  <c r="EI41" i="10" s="1"/>
  <c r="DV41" i="10"/>
  <c r="EM41" i="10" s="1"/>
  <c r="EE41" i="10"/>
  <c r="EV41" i="10" s="1"/>
  <c r="EB33" i="10"/>
  <c r="ES33" i="10" s="1"/>
  <c r="ED33" i="10"/>
  <c r="EU33" i="10" s="1"/>
  <c r="EE33" i="10"/>
  <c r="EV33" i="10" s="1"/>
  <c r="DZ33" i="10"/>
  <c r="EQ33" i="10" s="1"/>
  <c r="DR33" i="10"/>
  <c r="EI33" i="10" s="1"/>
  <c r="EG33" i="10"/>
  <c r="EX33" i="10" s="1"/>
  <c r="EA33" i="10"/>
  <c r="ER33" i="10" s="1"/>
  <c r="DV33" i="10"/>
  <c r="EM33" i="10" s="1"/>
  <c r="DT33" i="10"/>
  <c r="EK33" i="10" s="1"/>
  <c r="DV39" i="10"/>
  <c r="EM39" i="10" s="1"/>
  <c r="EG39" i="10"/>
  <c r="EX39" i="10" s="1"/>
  <c r="DZ39" i="10"/>
  <c r="EQ39" i="10" s="1"/>
  <c r="DT39" i="10"/>
  <c r="EK39" i="10" s="1"/>
  <c r="DY39" i="10"/>
  <c r="EP39" i="10" s="1"/>
  <c r="EF39" i="10"/>
  <c r="EW39" i="10" s="1"/>
  <c r="DU39" i="10"/>
  <c r="EL39" i="10" s="1"/>
  <c r="EE39" i="10"/>
  <c r="EV39" i="10" s="1"/>
  <c r="DX39" i="10"/>
  <c r="EO39" i="10" s="1"/>
  <c r="EA39" i="10"/>
  <c r="ER39" i="10" s="1"/>
  <c r="DR39" i="10"/>
  <c r="EI39" i="10" s="1"/>
  <c r="FS31" i="10"/>
  <c r="FS36" i="10"/>
  <c r="FM15" i="10"/>
  <c r="FG15" i="10"/>
  <c r="FC78" i="10"/>
  <c r="FC71" i="10"/>
  <c r="FM8" i="10"/>
  <c r="FG8" i="10"/>
  <c r="FI8" i="10" s="1"/>
  <c r="FC70" i="10"/>
  <c r="FM7" i="10"/>
  <c r="FG7" i="10"/>
  <c r="FI7" i="10" s="1"/>
  <c r="FC69" i="10"/>
  <c r="FM6" i="10"/>
  <c r="FG6" i="10"/>
  <c r="FI6" i="10" s="1"/>
  <c r="EB31" i="10"/>
  <c r="ES31" i="10" s="1"/>
  <c r="DY37" i="10"/>
  <c r="EP37" i="10" s="1"/>
  <c r="EF37" i="10"/>
  <c r="EW37" i="10" s="1"/>
  <c r="EG38" i="10"/>
  <c r="EX38" i="10" s="1"/>
  <c r="ED38" i="10"/>
  <c r="EU38" i="10" s="1"/>
  <c r="DZ29" i="10"/>
  <c r="EQ29" i="10" s="1"/>
  <c r="ED29" i="10"/>
  <c r="EU29" i="10" s="1"/>
  <c r="EG29" i="10"/>
  <c r="EX29" i="10" s="1"/>
  <c r="EE29" i="10"/>
  <c r="EV29" i="10" s="1"/>
  <c r="DR31" i="10"/>
  <c r="EI31" i="10" s="1"/>
  <c r="DZ27" i="10"/>
  <c r="EQ27" i="10" s="1"/>
  <c r="DV27" i="10"/>
  <c r="EM27" i="10" s="1"/>
  <c r="EA27" i="10"/>
  <c r="ER27" i="10" s="1"/>
  <c r="DY27" i="10"/>
  <c r="EP27" i="10" s="1"/>
  <c r="DT27" i="10"/>
  <c r="EK27" i="10" s="1"/>
  <c r="EE27" i="10"/>
  <c r="EV27" i="10" s="1"/>
  <c r="ED34" i="10"/>
  <c r="EU34" i="10" s="1"/>
  <c r="DT34" i="10"/>
  <c r="EK34" i="10" s="1"/>
  <c r="EG34" i="10"/>
  <c r="EX34" i="10" s="1"/>
  <c r="DX34" i="10"/>
  <c r="EO34" i="10" s="1"/>
  <c r="DZ34" i="10"/>
  <c r="EQ34" i="10" s="1"/>
  <c r="FT41" i="10"/>
  <c r="FY41" i="10" s="1"/>
  <c r="EY32" i="10" l="1"/>
  <c r="FT32" i="10" s="1"/>
  <c r="FY32" i="10" s="1"/>
  <c r="EY35" i="10"/>
  <c r="FT35" i="10" s="1"/>
  <c r="FY35" i="10" s="1"/>
  <c r="EY30" i="10"/>
  <c r="FT30" i="10" s="1"/>
  <c r="FY30" i="10" s="1"/>
  <c r="EY28" i="10"/>
  <c r="FT28" i="10" s="1"/>
  <c r="FY28" i="10" s="1"/>
  <c r="EY37" i="10"/>
  <c r="FT37" i="10" s="1"/>
  <c r="FY37" i="10" s="1"/>
  <c r="EY42" i="10"/>
  <c r="FT42" i="10" s="1"/>
  <c r="FY42" i="10" s="1"/>
  <c r="EY38" i="10"/>
  <c r="FT38" i="10" s="1"/>
  <c r="FY38" i="10" s="1"/>
  <c r="EY33" i="10"/>
  <c r="FT33" i="10" s="1"/>
  <c r="FY33" i="10" s="1"/>
  <c r="EY40" i="10"/>
  <c r="FT40" i="10" s="1"/>
  <c r="FY40" i="10" s="1"/>
  <c r="EY36" i="10"/>
  <c r="FT36" i="10" s="1"/>
  <c r="FY36" i="10" s="1"/>
  <c r="EY39" i="10"/>
  <c r="FT39" i="10" s="1"/>
  <c r="FY39" i="10" s="1"/>
  <c r="EY41" i="10"/>
  <c r="EY34" i="10"/>
  <c r="FT34" i="10" s="1"/>
  <c r="FY34" i="10" s="1"/>
  <c r="EY27" i="10"/>
  <c r="FT27" i="10" s="1"/>
  <c r="FY27" i="10" s="1"/>
  <c r="EY29" i="10"/>
  <c r="FT29" i="10" s="1"/>
  <c r="FY29" i="10" s="1"/>
  <c r="EY31" i="10"/>
  <c r="FT31" i="10" s="1"/>
  <c r="FY31" i="10" s="1"/>
  <c r="FH6" i="10"/>
  <c r="FJ6" i="10" s="1"/>
  <c r="FH7" i="10"/>
  <c r="FJ7" i="10" s="1"/>
  <c r="FH8" i="10"/>
  <c r="FJ8" i="10" s="1"/>
  <c r="FH13" i="10"/>
  <c r="FJ13" i="10" s="1"/>
  <c r="FH18" i="10"/>
  <c r="FJ18" i="10" s="1"/>
  <c r="FH19" i="10"/>
  <c r="FJ19" i="10" s="1"/>
  <c r="FH4" i="10"/>
  <c r="FJ4" i="10" s="1"/>
  <c r="FH14" i="10"/>
  <c r="FJ14" i="10" s="1"/>
  <c r="FH15" i="10"/>
  <c r="FH3" i="10"/>
  <c r="FJ3" i="10" s="1"/>
  <c r="FH11" i="10"/>
  <c r="FH20" i="10"/>
  <c r="FH10" i="10"/>
  <c r="FJ10" i="10" s="1"/>
  <c r="FH9" i="10"/>
  <c r="FJ9" i="10" s="1"/>
  <c r="FH17" i="10"/>
  <c r="FJ17" i="10" s="1"/>
  <c r="FH16" i="10"/>
  <c r="FJ16" i="10" s="1"/>
  <c r="FI15" i="10"/>
  <c r="FH12" i="10"/>
  <c r="FJ12" i="10" s="1"/>
  <c r="FH5" i="10"/>
  <c r="FJ5" i="10" s="1"/>
  <c r="FI11" i="10"/>
  <c r="FI20" i="10"/>
  <c r="EZ39" i="10"/>
  <c r="EZ42" i="10" l="1"/>
  <c r="EZ30" i="10"/>
  <c r="EZ34" i="10"/>
  <c r="EZ44" i="10"/>
  <c r="EZ27" i="10"/>
  <c r="FO16" i="10" s="1"/>
  <c r="EZ37" i="10"/>
  <c r="EZ38" i="10"/>
  <c r="EZ36" i="10"/>
  <c r="EZ32" i="10"/>
  <c r="EZ41" i="10"/>
  <c r="FJ20" i="10"/>
  <c r="FD83" i="10" s="1"/>
  <c r="EZ28" i="10"/>
  <c r="EZ31" i="10"/>
  <c r="EZ40" i="10"/>
  <c r="EZ43" i="10"/>
  <c r="EZ29" i="10"/>
  <c r="EZ35" i="10"/>
  <c r="FJ11" i="10"/>
  <c r="FD74" i="10" s="1"/>
  <c r="EZ33" i="10"/>
  <c r="FJ15" i="10"/>
  <c r="FD73" i="10"/>
  <c r="FD81" i="10"/>
  <c r="FD69" i="10"/>
  <c r="FD79" i="10"/>
  <c r="FD77" i="10"/>
  <c r="FD76" i="10"/>
  <c r="FD80" i="10"/>
  <c r="FD67" i="10"/>
  <c r="FD71" i="10"/>
  <c r="FD72" i="10"/>
  <c r="FD66" i="10"/>
  <c r="FD82" i="10"/>
  <c r="FD70" i="10"/>
  <c r="FD68" i="10"/>
  <c r="FD75" i="10"/>
  <c r="FO10" i="10"/>
  <c r="FK10" i="10" l="1"/>
  <c r="FA73" i="10" s="1"/>
  <c r="FO8" i="10"/>
  <c r="FO7" i="10"/>
  <c r="FO20" i="10"/>
  <c r="FO4" i="10"/>
  <c r="FQ4" i="10" s="1"/>
  <c r="FK9" i="10"/>
  <c r="FA72" i="10" s="1"/>
  <c r="FO9" i="10"/>
  <c r="FO17" i="10"/>
  <c r="FO6" i="10"/>
  <c r="FQ6" i="10" s="1"/>
  <c r="FO15" i="10"/>
  <c r="FQ15" i="10" s="1"/>
  <c r="FO13" i="10"/>
  <c r="FK5" i="10"/>
  <c r="FA68" i="10" s="1"/>
  <c r="FK19" i="10"/>
  <c r="FA82" i="10" s="1"/>
  <c r="FK11" i="10"/>
  <c r="FA74" i="10" s="1"/>
  <c r="FK14" i="10"/>
  <c r="FA77" i="10" s="1"/>
  <c r="FK8" i="10"/>
  <c r="FA71" i="10" s="1"/>
  <c r="FO18" i="10"/>
  <c r="FQ18" i="10" s="1"/>
  <c r="FK12" i="10"/>
  <c r="FA75" i="10" s="1"/>
  <c r="FK7" i="10"/>
  <c r="FA70" i="10" s="1"/>
  <c r="FK13" i="10"/>
  <c r="FA76" i="10" s="1"/>
  <c r="FK20" i="10"/>
  <c r="FA83" i="10" s="1"/>
  <c r="FK6" i="10"/>
  <c r="FA69" i="10" s="1"/>
  <c r="FK15" i="10"/>
  <c r="FA78" i="10" s="1"/>
  <c r="FO12" i="10"/>
  <c r="FP12" i="10" s="1"/>
  <c r="FO5" i="10"/>
  <c r="FP5" i="10" s="1"/>
  <c r="FK3" i="10"/>
  <c r="FA66" i="10" s="1"/>
  <c r="FD78" i="10"/>
  <c r="EZ71" i="10" s="1"/>
  <c r="FK4" i="10"/>
  <c r="FA67" i="10" s="1"/>
  <c r="FK17" i="10"/>
  <c r="FA80" i="10" s="1"/>
  <c r="FK16" i="10"/>
  <c r="FA79" i="10" s="1"/>
  <c r="FK18" i="10"/>
  <c r="FA81" i="10" s="1"/>
  <c r="FO14" i="10"/>
  <c r="FP14" i="10" s="1"/>
  <c r="FO19" i="10"/>
  <c r="FP19" i="10" s="1"/>
  <c r="FO11" i="10"/>
  <c r="FO3" i="10"/>
  <c r="EZ70" i="10"/>
  <c r="EZ74" i="10"/>
  <c r="EZ82" i="10"/>
  <c r="EZ67" i="10"/>
  <c r="EZ77" i="10"/>
  <c r="EZ81" i="10"/>
  <c r="FP9" i="10"/>
  <c r="FQ9" i="10"/>
  <c r="FQ13" i="10"/>
  <c r="FP13" i="10"/>
  <c r="FP16" i="10"/>
  <c r="FQ16" i="10"/>
  <c r="FQ12" i="10"/>
  <c r="FP20" i="10"/>
  <c r="FQ20" i="10"/>
  <c r="FP10" i="10"/>
  <c r="FQ10" i="10"/>
  <c r="FP8" i="10"/>
  <c r="FQ8" i="10"/>
  <c r="FP7" i="10"/>
  <c r="FQ7" i="10"/>
  <c r="FQ19" i="10"/>
  <c r="FP11" i="10"/>
  <c r="FQ11" i="10"/>
  <c r="FP3" i="10"/>
  <c r="FQ3" i="10"/>
  <c r="FP17" i="10"/>
  <c r="FQ17" i="10"/>
  <c r="FP18" i="10" l="1"/>
  <c r="FQ5" i="10"/>
  <c r="FP4" i="10"/>
  <c r="FP6" i="10"/>
  <c r="EZ78" i="10"/>
  <c r="FQ14" i="10"/>
  <c r="EZ75" i="10"/>
  <c r="FP15" i="10"/>
  <c r="EZ83" i="10"/>
  <c r="EZ73" i="10"/>
  <c r="EZ80" i="10"/>
  <c r="EZ68" i="10"/>
  <c r="EZ76" i="10"/>
  <c r="EZ66" i="10"/>
  <c r="CI48" i="10" s="1"/>
  <c r="BF13" i="10" s="1"/>
  <c r="EZ79" i="10"/>
  <c r="EZ72" i="10"/>
  <c r="EZ69" i="10"/>
  <c r="CI49" i="10" l="1"/>
  <c r="BF14" i="10" s="1"/>
  <c r="CH58" i="10"/>
  <c r="BE23" i="10" s="1"/>
  <c r="CI55" i="10"/>
  <c r="BF20" i="10" s="1"/>
  <c r="CH59" i="10"/>
  <c r="BE24" i="10" s="1"/>
  <c r="CH60" i="10"/>
  <c r="BE25" i="10" s="1"/>
  <c r="CH63" i="10"/>
  <c r="BE28" i="10" s="1"/>
  <c r="CI47" i="10"/>
  <c r="BF12" i="10" s="1"/>
  <c r="CI51" i="10"/>
  <c r="BF16" i="10" s="1"/>
  <c r="CI62" i="10"/>
  <c r="BF27" i="10" s="1"/>
  <c r="CI64" i="10"/>
  <c r="BF29" i="10" s="1"/>
  <c r="CI52" i="10"/>
  <c r="BF17" i="10" s="1"/>
  <c r="CI58" i="10"/>
  <c r="BF23" i="10" s="1"/>
  <c r="CH55" i="10"/>
  <c r="BE20" i="10" s="1"/>
  <c r="F15" i="19" s="1"/>
  <c r="CH54" i="10"/>
  <c r="BE19" i="10" s="1"/>
  <c r="BH19" i="10" s="1"/>
  <c r="CH62" i="10"/>
  <c r="BE27" i="10" s="1"/>
  <c r="CH57" i="10"/>
  <c r="BE22" i="10" s="1"/>
  <c r="CI59" i="10"/>
  <c r="BF24" i="10" s="1"/>
  <c r="CH51" i="10"/>
  <c r="BE16" i="10" s="1"/>
  <c r="E11" i="19" s="1"/>
  <c r="CH49" i="10"/>
  <c r="BE14" i="10" s="1"/>
  <c r="BH14" i="10" s="1"/>
  <c r="CI54" i="10"/>
  <c r="BF19" i="10" s="1"/>
  <c r="CH53" i="10"/>
  <c r="BE18" i="10" s="1"/>
  <c r="E13" i="19" s="1"/>
  <c r="CI63" i="10"/>
  <c r="BF28" i="10" s="1"/>
  <c r="CH64" i="10"/>
  <c r="BE29" i="10" s="1"/>
  <c r="F24" i="19" s="1"/>
  <c r="CH52" i="10"/>
  <c r="BE17" i="10" s="1"/>
  <c r="CI60" i="10"/>
  <c r="BF25" i="10" s="1"/>
  <c r="CI57" i="10"/>
  <c r="BF22" i="10" s="1"/>
  <c r="CI56" i="10"/>
  <c r="BF21" i="10" s="1"/>
  <c r="CI50" i="10"/>
  <c r="BF15" i="10" s="1"/>
  <c r="CH50" i="10"/>
  <c r="BE15" i="10" s="1"/>
  <c r="F10" i="19" s="1"/>
  <c r="CH56" i="10"/>
  <c r="BE21" i="10" s="1"/>
  <c r="F16" i="19" s="1"/>
  <c r="CH47" i="10"/>
  <c r="BE12" i="10" s="1"/>
  <c r="E7" i="19" s="1"/>
  <c r="CH48" i="10"/>
  <c r="BE13" i="10" s="1"/>
  <c r="CI53" i="10"/>
  <c r="BF18" i="10" s="1"/>
  <c r="CH61" i="10"/>
  <c r="BE26" i="10" s="1"/>
  <c r="F21" i="19" s="1"/>
  <c r="CI61" i="10"/>
  <c r="BF26" i="10" s="1"/>
  <c r="E17" i="19"/>
  <c r="BH22" i="10"/>
  <c r="BD22" i="10"/>
  <c r="D17" i="19" s="1"/>
  <c r="F17" i="19"/>
  <c r="BH13" i="51"/>
  <c r="BH16" i="10"/>
  <c r="F9" i="19"/>
  <c r="BH5" i="51"/>
  <c r="F13" i="19"/>
  <c r="BD18" i="10"/>
  <c r="D13" i="19" s="1"/>
  <c r="BH20" i="51"/>
  <c r="BD29" i="10"/>
  <c r="D24" i="19" s="1"/>
  <c r="BH8" i="51"/>
  <c r="BI8" i="51" s="1"/>
  <c r="E12" i="19"/>
  <c r="BH17" i="10"/>
  <c r="F12" i="19"/>
  <c r="BD17" i="10"/>
  <c r="D12" i="19" s="1"/>
  <c r="E18" i="19"/>
  <c r="BH14" i="51"/>
  <c r="BI14" i="51" s="1"/>
  <c r="F18" i="19"/>
  <c r="BH23" i="10"/>
  <c r="BD23" i="10"/>
  <c r="D18" i="19" s="1"/>
  <c r="BD28" i="10"/>
  <c r="D23" i="19" s="1"/>
  <c r="E23" i="19"/>
  <c r="F23" i="19"/>
  <c r="BH19" i="51"/>
  <c r="BI19" i="51" s="1"/>
  <c r="BH28" i="10"/>
  <c r="BH15" i="10"/>
  <c r="BD15" i="10"/>
  <c r="D10" i="19" s="1"/>
  <c r="E16" i="19"/>
  <c r="BD12" i="10"/>
  <c r="D7" i="19" s="1"/>
  <c r="F7" i="19"/>
  <c r="BH3" i="51"/>
  <c r="BH12" i="10"/>
  <c r="F8" i="19"/>
  <c r="E8" i="19"/>
  <c r="BH4" i="51"/>
  <c r="BD13" i="10"/>
  <c r="D8" i="19" s="1"/>
  <c r="BH13" i="10"/>
  <c r="E21" i="19"/>
  <c r="BD24" i="10"/>
  <c r="D19" i="19" s="1"/>
  <c r="BH24" i="10"/>
  <c r="BH15" i="51"/>
  <c r="F19" i="19"/>
  <c r="E19" i="19"/>
  <c r="BH25" i="10"/>
  <c r="F20" i="19"/>
  <c r="BD25" i="10"/>
  <c r="D20" i="19" s="1"/>
  <c r="BH16" i="51"/>
  <c r="BI16" i="51" s="1"/>
  <c r="E20" i="19"/>
  <c r="E15" i="19"/>
  <c r="BH11" i="51"/>
  <c r="BI11" i="51" s="1"/>
  <c r="BH20" i="10"/>
  <c r="BH10" i="51"/>
  <c r="BI10" i="51" s="1"/>
  <c r="E22" i="19"/>
  <c r="BD27" i="10"/>
  <c r="D22" i="19" s="1"/>
  <c r="F22" i="19"/>
  <c r="BH18" i="51"/>
  <c r="BI18" i="51" s="1"/>
  <c r="BH27" i="10"/>
  <c r="F14" i="19" l="1"/>
  <c r="BH26" i="10"/>
  <c r="BD26" i="10"/>
  <c r="D21" i="19" s="1"/>
  <c r="BH12" i="51"/>
  <c r="BI12" i="51" s="1"/>
  <c r="BH7" i="51"/>
  <c r="BI7" i="51" s="1"/>
  <c r="F11" i="19"/>
  <c r="BD19" i="10"/>
  <c r="D14" i="19" s="1"/>
  <c r="BD20" i="10"/>
  <c r="D15" i="19" s="1"/>
  <c r="I15" i="19" s="1"/>
  <c r="BI15" i="51"/>
  <c r="BH17" i="51"/>
  <c r="BI17" i="51" s="1"/>
  <c r="BH21" i="10"/>
  <c r="BH6" i="51"/>
  <c r="CA25" i="51" s="1"/>
  <c r="AM25" i="51" s="1"/>
  <c r="AT25" i="51" s="1"/>
  <c r="AS25" i="51" s="1"/>
  <c r="BH18" i="10"/>
  <c r="BD16" i="10"/>
  <c r="D11" i="19" s="1"/>
  <c r="BI13" i="51"/>
  <c r="E14" i="19"/>
  <c r="H14" i="19" s="1"/>
  <c r="BD21" i="10"/>
  <c r="D16" i="19" s="1"/>
  <c r="BI20" i="51"/>
  <c r="E10" i="19"/>
  <c r="E24" i="19"/>
  <c r="C24" i="19" s="1"/>
  <c r="BH29" i="10"/>
  <c r="BH9" i="51"/>
  <c r="BI9" i="51" s="1"/>
  <c r="BD14" i="10"/>
  <c r="D9" i="19" s="1"/>
  <c r="E9" i="19"/>
  <c r="H9" i="19" s="1"/>
  <c r="G14" i="19"/>
  <c r="I14" i="19"/>
  <c r="I10" i="19"/>
  <c r="G10" i="19"/>
  <c r="G23" i="19"/>
  <c r="I23" i="19"/>
  <c r="G24" i="19"/>
  <c r="I24" i="19"/>
  <c r="G13" i="19"/>
  <c r="I13" i="19"/>
  <c r="C11" i="19"/>
  <c r="H11" i="19"/>
  <c r="G22" i="19"/>
  <c r="I22" i="19"/>
  <c r="I8" i="19"/>
  <c r="G8" i="19"/>
  <c r="I7" i="19"/>
  <c r="G7" i="19"/>
  <c r="G18" i="19"/>
  <c r="I18" i="19"/>
  <c r="H18" i="19"/>
  <c r="C18" i="19"/>
  <c r="C12" i="19"/>
  <c r="H12" i="19"/>
  <c r="C13" i="19"/>
  <c r="H13" i="19"/>
  <c r="I17" i="19"/>
  <c r="G17" i="19"/>
  <c r="C20" i="19"/>
  <c r="H20" i="19"/>
  <c r="C22" i="19"/>
  <c r="H22" i="19"/>
  <c r="H19" i="19"/>
  <c r="C19" i="19"/>
  <c r="I19" i="19"/>
  <c r="G19" i="19"/>
  <c r="C21" i="19"/>
  <c r="H21" i="19"/>
  <c r="AU6" i="54"/>
  <c r="BI4" i="51"/>
  <c r="CA16" i="51"/>
  <c r="AM16" i="51" s="1"/>
  <c r="AT16" i="51" s="1"/>
  <c r="AS16" i="51" s="1"/>
  <c r="CA37" i="51"/>
  <c r="AM37" i="51" s="1"/>
  <c r="AT37" i="51" s="1"/>
  <c r="AS37" i="51" s="1"/>
  <c r="AE37" i="51" s="1"/>
  <c r="CA13" i="51"/>
  <c r="AM13" i="51" s="1"/>
  <c r="AT13" i="51" s="1"/>
  <c r="AS13" i="51" s="1"/>
  <c r="Y25" i="51"/>
  <c r="AA25" i="51" s="1"/>
  <c r="AD25" i="51" s="1"/>
  <c r="CA36" i="51"/>
  <c r="AM36" i="51" s="1"/>
  <c r="AT36" i="51" s="1"/>
  <c r="AS36" i="51" s="1"/>
  <c r="AE36" i="51" s="1"/>
  <c r="CA17" i="51"/>
  <c r="AM17" i="51" s="1"/>
  <c r="AT17" i="51" s="1"/>
  <c r="AS17" i="51" s="1"/>
  <c r="BI3" i="51"/>
  <c r="CA39" i="51"/>
  <c r="AM39" i="51" s="1"/>
  <c r="AT39" i="51" s="1"/>
  <c r="AS39" i="51" s="1"/>
  <c r="AE39" i="51" s="1"/>
  <c r="Y36" i="51"/>
  <c r="AA36" i="51" s="1"/>
  <c r="AD36" i="51" s="1"/>
  <c r="CA10" i="51"/>
  <c r="AM10" i="51" s="1"/>
  <c r="AT10" i="51" s="1"/>
  <c r="AS10" i="51" s="1"/>
  <c r="Y41" i="51"/>
  <c r="AA41" i="51" s="1"/>
  <c r="AD41" i="51" s="1"/>
  <c r="Y33" i="51"/>
  <c r="AA33" i="51" s="1"/>
  <c r="AD33" i="51" s="1"/>
  <c r="AU5" i="54"/>
  <c r="CA7" i="51"/>
  <c r="AM7" i="51" s="1"/>
  <c r="AT7" i="51" s="1"/>
  <c r="AS7" i="51" s="1"/>
  <c r="Y18" i="51"/>
  <c r="AA18" i="51" s="1"/>
  <c r="AD18" i="51" s="1"/>
  <c r="CA20" i="51"/>
  <c r="AM20" i="51" s="1"/>
  <c r="AT20" i="51" s="1"/>
  <c r="AS20" i="51" s="1"/>
  <c r="Y6" i="51"/>
  <c r="AA6" i="51" s="1"/>
  <c r="AD6" i="51" s="1"/>
  <c r="Y28" i="51"/>
  <c r="AA28" i="51" s="1"/>
  <c r="AD28" i="51" s="1"/>
  <c r="Y13" i="51"/>
  <c r="AA13" i="51" s="1"/>
  <c r="AD13" i="51" s="1"/>
  <c r="Y34" i="51"/>
  <c r="AA34" i="51" s="1"/>
  <c r="AD34" i="51" s="1"/>
  <c r="CA29" i="51"/>
  <c r="AM29" i="51" s="1"/>
  <c r="AT29" i="51" s="1"/>
  <c r="AS29" i="51" s="1"/>
  <c r="CA33" i="51"/>
  <c r="AM33" i="51" s="1"/>
  <c r="AT33" i="51" s="1"/>
  <c r="AS33" i="51" s="1"/>
  <c r="AE33" i="51" s="1"/>
  <c r="G16" i="19"/>
  <c r="I16" i="19"/>
  <c r="I12" i="19"/>
  <c r="G12" i="19"/>
  <c r="BI5" i="51"/>
  <c r="AU7" i="54"/>
  <c r="C14" i="19"/>
  <c r="C15" i="19"/>
  <c r="H15" i="19"/>
  <c r="I20" i="19"/>
  <c r="G20" i="19"/>
  <c r="G21" i="19"/>
  <c r="I21" i="19"/>
  <c r="C8" i="19"/>
  <c r="H8" i="19"/>
  <c r="H7" i="19"/>
  <c r="C7" i="19"/>
  <c r="H16" i="19"/>
  <c r="C16" i="19"/>
  <c r="C10" i="19"/>
  <c r="H10" i="19"/>
  <c r="C23" i="19"/>
  <c r="H23" i="19"/>
  <c r="I9" i="19"/>
  <c r="G9" i="19"/>
  <c r="G11" i="19"/>
  <c r="I11" i="19"/>
  <c r="C17" i="19"/>
  <c r="H17" i="19"/>
  <c r="G15" i="19" l="1"/>
  <c r="Y29" i="51"/>
  <c r="AA29" i="51" s="1"/>
  <c r="AD29" i="51" s="1"/>
  <c r="CA31" i="51"/>
  <c r="AM31" i="51" s="1"/>
  <c r="AT31" i="51" s="1"/>
  <c r="AS31" i="51" s="1"/>
  <c r="AE31" i="51" s="1"/>
  <c r="Y31" i="51"/>
  <c r="AA31" i="51" s="1"/>
  <c r="AD31" i="51" s="1"/>
  <c r="Y7" i="51"/>
  <c r="AA7" i="51" s="1"/>
  <c r="AD7" i="51" s="1"/>
  <c r="CA35" i="51"/>
  <c r="AM35" i="51" s="1"/>
  <c r="AT35" i="51" s="1"/>
  <c r="AS35" i="51" s="1"/>
  <c r="AE35" i="51" s="1"/>
  <c r="CA34" i="51"/>
  <c r="AM34" i="51" s="1"/>
  <c r="AT34" i="51" s="1"/>
  <c r="AS34" i="51" s="1"/>
  <c r="AE34" i="51" s="1"/>
  <c r="Y39" i="51"/>
  <c r="AA39" i="51" s="1"/>
  <c r="AD39" i="51" s="1"/>
  <c r="CA42" i="51"/>
  <c r="AM42" i="51" s="1"/>
  <c r="AT42" i="51" s="1"/>
  <c r="AS42" i="51" s="1"/>
  <c r="AE42" i="51" s="1"/>
  <c r="Y27" i="51"/>
  <c r="AA27" i="51" s="1"/>
  <c r="AD27" i="51" s="1"/>
  <c r="Y8" i="51"/>
  <c r="AA8" i="51" s="1"/>
  <c r="AD8" i="51" s="1"/>
  <c r="H24" i="19"/>
  <c r="AU8" i="54"/>
  <c r="CA38" i="51"/>
  <c r="AM38" i="51" s="1"/>
  <c r="AT38" i="51" s="1"/>
  <c r="AS38" i="51" s="1"/>
  <c r="AE38" i="51" s="1"/>
  <c r="CA24" i="51"/>
  <c r="AM24" i="51" s="1"/>
  <c r="AT24" i="51" s="1"/>
  <c r="AS24" i="51" s="1"/>
  <c r="AE24" i="51" s="1"/>
  <c r="Y21" i="51"/>
  <c r="AA21" i="51" s="1"/>
  <c r="AD21" i="51" s="1"/>
  <c r="CA3" i="51"/>
  <c r="Y12" i="51"/>
  <c r="AA12" i="51" s="1"/>
  <c r="AD12" i="51" s="1"/>
  <c r="CA18" i="51"/>
  <c r="AM18" i="51" s="1"/>
  <c r="AT18" i="51" s="1"/>
  <c r="AS18" i="51" s="1"/>
  <c r="AE18" i="51" s="1"/>
  <c r="CA14" i="51"/>
  <c r="AM14" i="51" s="1"/>
  <c r="AT14" i="51" s="1"/>
  <c r="AS14" i="51" s="1"/>
  <c r="Y4" i="51"/>
  <c r="AA4" i="51" s="1"/>
  <c r="AD4" i="51" s="1"/>
  <c r="CA28" i="51"/>
  <c r="AM28" i="51" s="1"/>
  <c r="AT28" i="51" s="1"/>
  <c r="AS28" i="51" s="1"/>
  <c r="CA12" i="51"/>
  <c r="AM12" i="51" s="1"/>
  <c r="AT12" i="51" s="1"/>
  <c r="AS12" i="51" s="1"/>
  <c r="Y14" i="51"/>
  <c r="AA14" i="51" s="1"/>
  <c r="AD14" i="51" s="1"/>
  <c r="CA5" i="51"/>
  <c r="CA8" i="51"/>
  <c r="AM8" i="51" s="1"/>
  <c r="AT8" i="51" s="1"/>
  <c r="AS8" i="51" s="1"/>
  <c r="AE8" i="51" s="1"/>
  <c r="CA22" i="51"/>
  <c r="AM22" i="51" s="1"/>
  <c r="AT22" i="51" s="1"/>
  <c r="AS22" i="51" s="1"/>
  <c r="Y17" i="51"/>
  <c r="AA17" i="51" s="1"/>
  <c r="AD17" i="51" s="1"/>
  <c r="Y26" i="51"/>
  <c r="AA26" i="51" s="1"/>
  <c r="AD26" i="51" s="1"/>
  <c r="Y16" i="51"/>
  <c r="AA16" i="51" s="1"/>
  <c r="AD16" i="51" s="1"/>
  <c r="CA41" i="51"/>
  <c r="AM41" i="51" s="1"/>
  <c r="AT41" i="51" s="1"/>
  <c r="AS41" i="51" s="1"/>
  <c r="AE41" i="51" s="1"/>
  <c r="Y37" i="51"/>
  <c r="AA37" i="51" s="1"/>
  <c r="AD37" i="51" s="1"/>
  <c r="CA26" i="51"/>
  <c r="AM26" i="51" s="1"/>
  <c r="AT26" i="51" s="1"/>
  <c r="AS26" i="51" s="1"/>
  <c r="C9" i="19"/>
  <c r="AE17" i="51"/>
  <c r="Y42" i="51"/>
  <c r="AA42" i="51" s="1"/>
  <c r="AD42" i="51" s="1"/>
  <c r="CA23" i="51"/>
  <c r="AM23" i="51" s="1"/>
  <c r="AT23" i="51" s="1"/>
  <c r="AS23" i="51" s="1"/>
  <c r="AE23" i="51" s="1"/>
  <c r="Y23" i="51"/>
  <c r="AA23" i="51" s="1"/>
  <c r="AD23" i="51" s="1"/>
  <c r="CA9" i="51"/>
  <c r="AM9" i="51" s="1"/>
  <c r="AT9" i="51" s="1"/>
  <c r="AS9" i="51" s="1"/>
  <c r="Y38" i="51"/>
  <c r="AA38" i="51" s="1"/>
  <c r="AD38" i="51" s="1"/>
  <c r="CA32" i="51"/>
  <c r="AM32" i="51" s="1"/>
  <c r="AT32" i="51" s="1"/>
  <c r="AS32" i="51" s="1"/>
  <c r="CA30" i="51"/>
  <c r="AM30" i="51" s="1"/>
  <c r="AT30" i="51" s="1"/>
  <c r="AS30" i="51" s="1"/>
  <c r="Y24" i="51"/>
  <c r="AA24" i="51" s="1"/>
  <c r="AD24" i="51" s="1"/>
  <c r="Y15" i="51"/>
  <c r="AA15" i="51" s="1"/>
  <c r="AD15" i="51" s="1"/>
  <c r="Y5" i="51"/>
  <c r="AA5" i="51" s="1"/>
  <c r="AD5" i="51" s="1"/>
  <c r="BI6" i="51"/>
  <c r="CA4" i="51"/>
  <c r="AM4" i="51" s="1"/>
  <c r="AT4" i="51" s="1"/>
  <c r="AS4" i="51" s="1"/>
  <c r="AE4" i="51" s="1"/>
  <c r="Y3" i="51"/>
  <c r="AA3" i="51" s="1"/>
  <c r="AD3" i="51" s="1"/>
  <c r="CA21" i="51"/>
  <c r="AM21" i="51" s="1"/>
  <c r="AT21" i="51" s="1"/>
  <c r="AS21" i="51" s="1"/>
  <c r="Y30" i="51"/>
  <c r="AA30" i="51" s="1"/>
  <c r="AD30" i="51" s="1"/>
  <c r="Y19" i="51"/>
  <c r="AA19" i="51" s="1"/>
  <c r="AD19" i="51" s="1"/>
  <c r="Y10" i="51"/>
  <c r="AA10" i="51" s="1"/>
  <c r="AD10" i="51" s="1"/>
  <c r="Y11" i="51"/>
  <c r="AA11" i="51" s="1"/>
  <c r="AD11" i="51" s="1"/>
  <c r="Y35" i="51"/>
  <c r="AA35" i="51" s="1"/>
  <c r="AD35" i="51" s="1"/>
  <c r="Y9" i="51"/>
  <c r="AA9" i="51" s="1"/>
  <c r="AD9" i="51" s="1"/>
  <c r="Y32" i="51"/>
  <c r="AA32" i="51" s="1"/>
  <c r="AD32" i="51" s="1"/>
  <c r="Y20" i="51"/>
  <c r="AA20" i="51" s="1"/>
  <c r="AD20" i="51" s="1"/>
  <c r="AE20" i="51" s="1"/>
  <c r="CA40" i="51"/>
  <c r="AM40" i="51" s="1"/>
  <c r="AT40" i="51" s="1"/>
  <c r="AS40" i="51" s="1"/>
  <c r="AE40" i="51" s="1"/>
  <c r="CA11" i="51"/>
  <c r="AM11" i="51" s="1"/>
  <c r="AT11" i="51" s="1"/>
  <c r="AS11" i="51" s="1"/>
  <c r="AE11" i="51" s="1"/>
  <c r="CA27" i="51"/>
  <c r="AM27" i="51" s="1"/>
  <c r="AT27" i="51" s="1"/>
  <c r="AS27" i="51" s="1"/>
  <c r="AE27" i="51" s="1"/>
  <c r="Y40" i="51"/>
  <c r="AA40" i="51" s="1"/>
  <c r="AD40" i="51" s="1"/>
  <c r="CA15" i="51"/>
  <c r="AM15" i="51" s="1"/>
  <c r="AT15" i="51" s="1"/>
  <c r="AS15" i="51" s="1"/>
  <c r="AE15" i="51" s="1"/>
  <c r="CA19" i="51"/>
  <c r="AM19" i="51" s="1"/>
  <c r="AT19" i="51" s="1"/>
  <c r="AS19" i="51" s="1"/>
  <c r="AE19" i="51" s="1"/>
  <c r="Y22" i="51"/>
  <c r="AA22" i="51" s="1"/>
  <c r="AD22" i="51" s="1"/>
  <c r="CA6" i="51"/>
  <c r="AM6" i="51" s="1"/>
  <c r="AT6" i="51" s="1"/>
  <c r="AS6" i="51" s="1"/>
  <c r="AE6" i="51" s="1"/>
  <c r="AE29" i="51"/>
  <c r="AE21" i="51"/>
  <c r="AE25" i="51"/>
  <c r="AE10" i="51"/>
  <c r="AE13" i="51"/>
  <c r="AE16" i="51"/>
  <c r="AE7" i="51"/>
  <c r="AE32" i="51"/>
  <c r="AM3" i="51"/>
  <c r="AT3" i="51" s="1"/>
  <c r="AS3" i="51" s="1"/>
  <c r="AE3" i="51" s="1"/>
  <c r="AE28" i="51"/>
  <c r="AE26" i="51"/>
  <c r="AM5" i="51" l="1"/>
  <c r="AT5" i="51" s="1"/>
  <c r="AS5" i="51" s="1"/>
  <c r="AE5" i="51" s="1"/>
  <c r="AE30" i="51"/>
  <c r="AE12" i="51"/>
  <c r="AE9" i="51"/>
  <c r="AE22" i="51"/>
  <c r="AE14" i="51"/>
  <c r="AC40" i="51" l="1"/>
  <c r="AC34" i="51"/>
  <c r="AC18" i="51"/>
  <c r="AC20" i="51"/>
  <c r="AC41" i="51"/>
  <c r="AC3" i="51"/>
  <c r="AC8" i="51"/>
  <c r="AC32" i="51"/>
  <c r="AC9" i="51"/>
  <c r="AC24" i="51"/>
  <c r="AC35" i="51"/>
  <c r="AC37" i="51"/>
  <c r="AC4" i="51"/>
  <c r="AC15" i="51"/>
  <c r="AC16" i="51"/>
  <c r="AC13" i="51"/>
  <c r="AC10" i="51"/>
  <c r="AC25" i="51"/>
  <c r="AC30" i="51"/>
  <c r="AC36" i="51"/>
  <c r="AC5" i="51"/>
  <c r="AC27" i="51"/>
  <c r="AC39" i="51"/>
  <c r="AC22" i="51"/>
  <c r="AC31" i="51"/>
  <c r="AC6" i="51"/>
  <c r="AC19" i="51"/>
  <c r="AC11" i="51"/>
  <c r="AC21" i="51"/>
  <c r="AC28" i="51"/>
  <c r="AC7" i="51"/>
  <c r="AC38" i="51"/>
  <c r="AC17" i="51"/>
  <c r="AC33" i="51"/>
  <c r="AC23" i="51"/>
  <c r="AC14" i="51"/>
  <c r="AC29" i="51"/>
  <c r="AC42" i="51"/>
  <c r="AC26" i="51"/>
  <c r="AC12" i="51"/>
  <c r="K15" i="51" s="1"/>
  <c r="R18" i="54" s="1"/>
  <c r="P4" i="51"/>
  <c r="AB7" i="54" s="1"/>
  <c r="K3" i="51"/>
  <c r="R6" i="54" s="1"/>
  <c r="P10" i="51"/>
  <c r="AB13" i="54" s="1"/>
  <c r="G6" i="51"/>
  <c r="J9" i="54" s="1"/>
  <c r="K5" i="51"/>
  <c r="R8" i="54" s="1"/>
  <c r="J8" i="51"/>
  <c r="P11" i="54" s="1"/>
  <c r="K7" i="51"/>
  <c r="R10" i="54" s="1"/>
  <c r="N3" i="51"/>
  <c r="X6" i="54" s="1"/>
  <c r="J5" i="51"/>
  <c r="P8" i="54" s="1"/>
  <c r="O15" i="51"/>
  <c r="Z18" i="54" s="1"/>
  <c r="O18" i="51"/>
  <c r="Z21" i="54" s="1"/>
  <c r="G14" i="51"/>
  <c r="J17" i="54" s="1"/>
  <c r="G7" i="51"/>
  <c r="J10" i="54" s="1"/>
  <c r="H13" i="51"/>
  <c r="L16" i="54" s="1"/>
  <c r="N13" i="51"/>
  <c r="X16" i="54" s="1"/>
  <c r="E9" i="51"/>
  <c r="G12" i="54" s="1"/>
  <c r="N10" i="51"/>
  <c r="X13" i="54" s="1"/>
  <c r="H8" i="51"/>
  <c r="L11" i="54" s="1"/>
  <c r="J24" i="51"/>
  <c r="P27" i="54" s="1"/>
  <c r="M8" i="51"/>
  <c r="V11" i="54" s="1"/>
  <c r="M5" i="51"/>
  <c r="V8" i="54" s="1"/>
  <c r="N24" i="51"/>
  <c r="X27" i="54" s="1"/>
  <c r="P33" i="51"/>
  <c r="AB36" i="54" s="1"/>
  <c r="L33" i="51"/>
  <c r="T36" i="54" s="1"/>
  <c r="J9" i="51"/>
  <c r="P12" i="54" s="1"/>
  <c r="M35" i="51"/>
  <c r="V38" i="54" s="1"/>
  <c r="I9" i="51"/>
  <c r="N12" i="54" s="1"/>
  <c r="H36" i="51"/>
  <c r="L39" i="54" s="1"/>
  <c r="M27" i="51"/>
  <c r="V30" i="54" s="1"/>
  <c r="E10" i="51"/>
  <c r="G13" i="54" s="1"/>
  <c r="O13" i="51"/>
  <c r="Z16" i="54" s="1"/>
  <c r="P3" i="51"/>
  <c r="AB6" i="54" s="1"/>
  <c r="Q8" i="51"/>
  <c r="J14" i="51"/>
  <c r="P17" i="54" s="1"/>
  <c r="D25" i="51"/>
  <c r="P14" i="51"/>
  <c r="AB17" i="54" s="1"/>
  <c r="I6" i="51"/>
  <c r="N9" i="54" s="1"/>
  <c r="Q18" i="51"/>
  <c r="L8" i="51"/>
  <c r="T11" i="54" s="1"/>
  <c r="O4" i="51"/>
  <c r="Z7" i="54" s="1"/>
  <c r="M28" i="51"/>
  <c r="V31" i="54" s="1"/>
  <c r="O37" i="51"/>
  <c r="Z40" i="54" s="1"/>
  <c r="E21" i="51"/>
  <c r="G24" i="54" s="1"/>
  <c r="I30" i="51"/>
  <c r="N33" i="54" s="1"/>
  <c r="H32" i="51"/>
  <c r="L35" i="54" s="1"/>
  <c r="E33" i="51"/>
  <c r="G36" i="54" s="1"/>
  <c r="M20" i="51"/>
  <c r="V23" i="54" s="1"/>
  <c r="E18" i="51"/>
  <c r="G21" i="54" s="1"/>
  <c r="I18" i="51"/>
  <c r="N21" i="54" s="1"/>
  <c r="I4" i="51"/>
  <c r="N7" i="54" s="1"/>
  <c r="F14" i="51"/>
  <c r="H17" i="54" s="1"/>
  <c r="L18" i="51"/>
  <c r="T21" i="54" s="1"/>
  <c r="J7" i="51"/>
  <c r="P10" i="54" s="1"/>
  <c r="H34" i="51"/>
  <c r="L37" i="54" s="1"/>
  <c r="J15" i="51"/>
  <c r="P18" i="54" s="1"/>
  <c r="Q6" i="51"/>
  <c r="Q7" i="51"/>
  <c r="H24" i="51"/>
  <c r="L27" i="54" s="1"/>
  <c r="F28" i="51"/>
  <c r="H31" i="54" s="1"/>
  <c r="O36" i="51"/>
  <c r="Z39" i="54" s="1"/>
  <c r="K21" i="51"/>
  <c r="R24" i="54" s="1"/>
  <c r="J19" i="51"/>
  <c r="P22" i="54" s="1"/>
  <c r="K22" i="51"/>
  <c r="R25" i="54" s="1"/>
  <c r="J42" i="51"/>
  <c r="P45" i="54" s="1"/>
  <c r="P23" i="51"/>
  <c r="AB26" i="54" s="1"/>
  <c r="O34" i="51"/>
  <c r="Z37" i="54" s="1"/>
  <c r="G22" i="51"/>
  <c r="J25" i="54" s="1"/>
  <c r="I36" i="51"/>
  <c r="N39" i="54" s="1"/>
  <c r="D42" i="51"/>
  <c r="G11" i="51"/>
  <c r="J14" i="54" s="1"/>
  <c r="K25" i="51"/>
  <c r="R28" i="54" s="1"/>
  <c r="M11" i="51"/>
  <c r="V14" i="54" s="1"/>
  <c r="L39" i="51"/>
  <c r="T42" i="54" s="1"/>
  <c r="L31" i="51"/>
  <c r="T34" i="54" s="1"/>
  <c r="Q26" i="51"/>
  <c r="N8" i="51"/>
  <c r="X11" i="54" s="1"/>
  <c r="O22" i="51"/>
  <c r="Z25" i="54" s="1"/>
  <c r="P38" i="51"/>
  <c r="AB41" i="54" s="1"/>
  <c r="J28" i="51"/>
  <c r="P31" i="54" s="1"/>
  <c r="I28" i="51"/>
  <c r="N31" i="54" s="1"/>
  <c r="Q4" i="51"/>
  <c r="H7" i="51"/>
  <c r="L10" i="54" s="1"/>
  <c r="D6" i="51"/>
  <c r="P8" i="51"/>
  <c r="AB11" i="54" s="1"/>
  <c r="I5" i="51"/>
  <c r="N8" i="54" s="1"/>
  <c r="F13" i="51"/>
  <c r="H16" i="54" s="1"/>
  <c r="H11" i="51"/>
  <c r="L14" i="54" s="1"/>
  <c r="M7" i="51"/>
  <c r="V10" i="54" s="1"/>
  <c r="D5" i="51"/>
  <c r="F18" i="51"/>
  <c r="H21" i="54" s="1"/>
  <c r="D3" i="51"/>
  <c r="L14" i="51"/>
  <c r="T17" i="54" s="1"/>
  <c r="E8" i="51"/>
  <c r="G11" i="54" s="1"/>
  <c r="Q20" i="51"/>
  <c r="D18" i="51"/>
  <c r="J22" i="51"/>
  <c r="P25" i="54" s="1"/>
  <c r="E5" i="51"/>
  <c r="G8" i="54" s="1"/>
  <c r="E4" i="51"/>
  <c r="G7" i="54" s="1"/>
  <c r="D8" i="51"/>
  <c r="Q41" i="51"/>
  <c r="M10" i="51"/>
  <c r="V13" i="54" s="1"/>
  <c r="E3" i="51"/>
  <c r="G6" i="54" s="1"/>
  <c r="L40" i="51"/>
  <c r="T43" i="54" s="1"/>
  <c r="P31" i="51"/>
  <c r="AB34" i="54" s="1"/>
  <c r="G12" i="51"/>
  <c r="J15" i="54" s="1"/>
  <c r="K20" i="51"/>
  <c r="R23" i="54" s="1"/>
  <c r="G31" i="51"/>
  <c r="J34" i="54" s="1"/>
  <c r="N26" i="51"/>
  <c r="X29" i="54" s="1"/>
  <c r="K39" i="51"/>
  <c r="R42" i="54" s="1"/>
  <c r="L16" i="51"/>
  <c r="T19" i="54" s="1"/>
  <c r="F10" i="51"/>
  <c r="H13" i="54" s="1"/>
  <c r="M4" i="51"/>
  <c r="V7" i="54" s="1"/>
  <c r="N6" i="51"/>
  <c r="X9" i="54" s="1"/>
  <c r="F16" i="51"/>
  <c r="H19" i="54" s="1"/>
  <c r="H15" i="51"/>
  <c r="L18" i="54" s="1"/>
  <c r="O8" i="51"/>
  <c r="Z11" i="54" s="1"/>
  <c r="Q10" i="51"/>
  <c r="E7" i="51"/>
  <c r="G10" i="54" s="1"/>
  <c r="K8" i="51"/>
  <c r="R11" i="54" s="1"/>
  <c r="L13" i="51"/>
  <c r="T16" i="54" s="1"/>
  <c r="J13" i="51"/>
  <c r="P16" i="54" s="1"/>
  <c r="L21" i="51"/>
  <c r="T24" i="54" s="1"/>
  <c r="F21" i="51"/>
  <c r="H24" i="54" s="1"/>
  <c r="H22" i="51"/>
  <c r="L25" i="54" s="1"/>
  <c r="J32" i="51"/>
  <c r="P35" i="54" s="1"/>
  <c r="O30" i="51"/>
  <c r="Z33" i="54" s="1"/>
  <c r="I37" i="51"/>
  <c r="N40" i="54" s="1"/>
  <c r="K36" i="51"/>
  <c r="R39" i="54" s="1"/>
  <c r="Q5" i="51"/>
  <c r="N5" i="51"/>
  <c r="X8" i="54" s="1"/>
  <c r="O10" i="51"/>
  <c r="Z13" i="54" s="1"/>
  <c r="N4" i="51"/>
  <c r="X7" i="54" s="1"/>
  <c r="I15" i="51"/>
  <c r="N18" i="54" s="1"/>
  <c r="Q28" i="51"/>
  <c r="H41" i="51"/>
  <c r="L44" i="54" s="1"/>
  <c r="N16" i="51"/>
  <c r="X19" i="54" s="1"/>
  <c r="I13" i="51"/>
  <c r="N16" i="54" s="1"/>
  <c r="G10" i="51"/>
  <c r="J13" i="54" s="1"/>
  <c r="N34" i="51"/>
  <c r="X37" i="54" s="1"/>
  <c r="N30" i="51"/>
  <c r="X33" i="54" s="1"/>
  <c r="J38" i="51"/>
  <c r="P41" i="54" s="1"/>
  <c r="I22" i="51"/>
  <c r="N25" i="54" s="1"/>
  <c r="F32" i="51"/>
  <c r="H35" i="54" s="1"/>
  <c r="O27" i="51"/>
  <c r="Z30" i="54" s="1"/>
  <c r="F29" i="51"/>
  <c r="H32" i="54" s="1"/>
  <c r="E28" i="51"/>
  <c r="G31" i="54" s="1"/>
  <c r="D36" i="51"/>
  <c r="K35" i="51"/>
  <c r="R38" i="54" s="1"/>
  <c r="J27" i="51"/>
  <c r="P30" i="54" s="1"/>
  <c r="M24" i="51"/>
  <c r="V27" i="54" s="1"/>
  <c r="F27" i="51"/>
  <c r="H30" i="54" s="1"/>
  <c r="O21" i="51"/>
  <c r="Z24" i="54" s="1"/>
  <c r="F9" i="51"/>
  <c r="H12" i="54" s="1"/>
  <c r="J12" i="51"/>
  <c r="P15" i="54" s="1"/>
  <c r="N42" i="51"/>
  <c r="X45" i="54" s="1"/>
  <c r="P15" i="51"/>
  <c r="AB18" i="54" s="1"/>
  <c r="K4" i="51"/>
  <c r="R7" i="54" s="1"/>
  <c r="N32" i="51"/>
  <c r="X35" i="54" s="1"/>
  <c r="E29" i="51"/>
  <c r="G32" i="54" s="1"/>
  <c r="H20" i="51"/>
  <c r="L23" i="54" s="1"/>
  <c r="H6" i="51"/>
  <c r="L9" i="54" s="1"/>
  <c r="F12" i="51"/>
  <c r="H15" i="54" s="1"/>
  <c r="M16" i="51"/>
  <c r="V19" i="54" s="1"/>
  <c r="L7" i="51"/>
  <c r="T10" i="54" s="1"/>
  <c r="G5" i="51"/>
  <c r="J8" i="54" s="1"/>
  <c r="I7" i="51"/>
  <c r="N10" i="54" s="1"/>
  <c r="Q14" i="51"/>
  <c r="F15" i="51"/>
  <c r="H18" i="54" s="1"/>
  <c r="D10" i="51"/>
  <c r="F33" i="51"/>
  <c r="H36" i="54" s="1"/>
  <c r="F3" i="51"/>
  <c r="H6" i="54" s="1"/>
  <c r="O6" i="51"/>
  <c r="Z9" i="54" s="1"/>
  <c r="F4" i="51"/>
  <c r="H7" i="54" s="1"/>
  <c r="M15" i="51"/>
  <c r="V18" i="54" s="1"/>
  <c r="L35" i="51"/>
  <c r="T38" i="54" s="1"/>
  <c r="O7" i="51"/>
  <c r="Z10" i="54" s="1"/>
  <c r="E14" i="51"/>
  <c r="G17" i="54" s="1"/>
  <c r="H3" i="51"/>
  <c r="L6" i="54" s="1"/>
  <c r="E16" i="51"/>
  <c r="G19" i="54" s="1"/>
  <c r="M14" i="51"/>
  <c r="V17" i="54" s="1"/>
  <c r="M39" i="51"/>
  <c r="V42" i="54" s="1"/>
  <c r="N29" i="51"/>
  <c r="X32" i="54" s="1"/>
  <c r="G37" i="51"/>
  <c r="J40" i="54" s="1"/>
  <c r="L27" i="51"/>
  <c r="T30" i="54" s="1"/>
  <c r="D17" i="51"/>
  <c r="D31" i="51"/>
  <c r="J29" i="51"/>
  <c r="P32" i="54" s="1"/>
  <c r="I34" i="51"/>
  <c r="N37" i="54" s="1"/>
  <c r="G35" i="51"/>
  <c r="J38" i="54" s="1"/>
  <c r="P24" i="51"/>
  <c r="AB27" i="54" s="1"/>
  <c r="L5" i="51"/>
  <c r="T8" i="54" s="1"/>
  <c r="H14" i="51"/>
  <c r="L17" i="54" s="1"/>
  <c r="I16" i="51"/>
  <c r="N19" i="54" s="1"/>
  <c r="L15" i="51"/>
  <c r="T18" i="54" s="1"/>
  <c r="K16" i="51"/>
  <c r="R19" i="54" s="1"/>
  <c r="D15" i="51"/>
  <c r="N14" i="51"/>
  <c r="X17" i="54" s="1"/>
  <c r="Q13" i="51"/>
  <c r="D41" i="51"/>
  <c r="Q3" i="51"/>
  <c r="AD6" i="54" s="1"/>
  <c r="O3" i="51"/>
  <c r="Z6" i="54" s="1"/>
  <c r="K17" i="51"/>
  <c r="R20" i="54" s="1"/>
  <c r="Q23" i="51"/>
  <c r="H9" i="51"/>
  <c r="L12" i="54" s="1"/>
  <c r="G17" i="51"/>
  <c r="J20" i="54" s="1"/>
  <c r="D35" i="51"/>
  <c r="M41" i="51"/>
  <c r="V44" i="54" s="1"/>
  <c r="O40" i="51"/>
  <c r="Z43" i="54" s="1"/>
  <c r="E15" i="51"/>
  <c r="G18" i="54" s="1"/>
  <c r="P6" i="51"/>
  <c r="AB9" i="54" s="1"/>
  <c r="N15" i="51"/>
  <c r="X18" i="54" s="1"/>
  <c r="K18" i="51"/>
  <c r="R21" i="54" s="1"/>
  <c r="I42" i="51"/>
  <c r="N45" i="54" s="1"/>
  <c r="I14" i="51"/>
  <c r="N17" i="54" s="1"/>
  <c r="G30" i="51"/>
  <c r="J33" i="54" s="1"/>
  <c r="L3" i="51"/>
  <c r="T6" i="54" s="1"/>
  <c r="D7" i="51"/>
  <c r="O5" i="51"/>
  <c r="Z8" i="54" s="1"/>
  <c r="K38" i="51"/>
  <c r="R41" i="54" s="1"/>
  <c r="N40" i="51"/>
  <c r="X43" i="54" s="1"/>
  <c r="L37" i="51"/>
  <c r="T40" i="54" s="1"/>
  <c r="D28" i="51"/>
  <c r="H39" i="51"/>
  <c r="L42" i="54" s="1"/>
  <c r="M29" i="51"/>
  <c r="V32" i="54" s="1"/>
  <c r="M31" i="51"/>
  <c r="V34" i="54" s="1"/>
  <c r="Q27" i="51"/>
  <c r="N9" i="51"/>
  <c r="X12" i="54" s="1"/>
  <c r="I12" i="51"/>
  <c r="N15" i="54" s="1"/>
  <c r="L29" i="51"/>
  <c r="T32" i="54" s="1"/>
  <c r="N27" i="51"/>
  <c r="X30" i="54" s="1"/>
  <c r="J31" i="51"/>
  <c r="P34" i="54" s="1"/>
  <c r="E24" i="51"/>
  <c r="G27" i="54" s="1"/>
  <c r="P12" i="51"/>
  <c r="AB15" i="54" s="1"/>
  <c r="Q11" i="51"/>
  <c r="D9" i="51"/>
  <c r="H18" i="51"/>
  <c r="L21" i="54" s="1"/>
  <c r="K10" i="51"/>
  <c r="R13" i="54" s="1"/>
  <c r="M37" i="51"/>
  <c r="V40" i="54" s="1"/>
  <c r="L34" i="51"/>
  <c r="T37" i="54" s="1"/>
  <c r="Q31" i="51"/>
  <c r="D39" i="51"/>
  <c r="K6" i="51"/>
  <c r="R9" i="54" s="1"/>
  <c r="M3" i="51"/>
  <c r="V6" i="54" s="1"/>
  <c r="D14" i="51"/>
  <c r="I3" i="51"/>
  <c r="N6" i="54" s="1"/>
  <c r="G13" i="51"/>
  <c r="J16" i="54" s="1"/>
  <c r="J16" i="51"/>
  <c r="P19" i="54" s="1"/>
  <c r="G15" i="51"/>
  <c r="J18" i="54" s="1"/>
  <c r="J18" i="51"/>
  <c r="P21" i="54" s="1"/>
  <c r="D4" i="51"/>
  <c r="E6" i="51"/>
  <c r="G9" i="54" s="1"/>
  <c r="H16" i="51"/>
  <c r="L19" i="54" s="1"/>
  <c r="H10" i="51"/>
  <c r="L13" i="54" s="1"/>
  <c r="O16" i="51"/>
  <c r="Z19" i="54" s="1"/>
  <c r="I10" i="51"/>
  <c r="N13" i="54" s="1"/>
  <c r="M13" i="51"/>
  <c r="V16" i="54" s="1"/>
  <c r="K31" i="51"/>
  <c r="R34" i="54" s="1"/>
  <c r="O14" i="51"/>
  <c r="Z17" i="54" s="1"/>
  <c r="F8" i="51"/>
  <c r="H11" i="54" s="1"/>
  <c r="P25" i="51"/>
  <c r="AB28" i="54" s="1"/>
  <c r="F7" i="51"/>
  <c r="H10" i="54" s="1"/>
  <c r="I33" i="51"/>
  <c r="N36" i="54" s="1"/>
  <c r="D13" i="51"/>
  <c r="D27" i="51"/>
  <c r="Q42" i="51"/>
  <c r="I19" i="51"/>
  <c r="N22" i="54" s="1"/>
  <c r="E32" i="51"/>
  <c r="G35" i="54" s="1"/>
  <c r="K29" i="51"/>
  <c r="R32" i="54" s="1"/>
  <c r="N33" i="51"/>
  <c r="X36" i="54" s="1"/>
  <c r="D32" i="51"/>
  <c r="N18" i="51"/>
  <c r="X21" i="54" s="1"/>
  <c r="J4" i="51"/>
  <c r="P7" i="54" s="1"/>
  <c r="F6" i="51"/>
  <c r="H9" i="54" s="1"/>
  <c r="G18" i="51"/>
  <c r="J21" i="54" s="1"/>
  <c r="I8" i="51"/>
  <c r="N11" i="54" s="1"/>
  <c r="E13" i="51"/>
  <c r="G16" i="54" s="1"/>
  <c r="N7" i="51"/>
  <c r="X10" i="54" s="1"/>
  <c r="L10" i="51"/>
  <c r="T13" i="54" s="1"/>
  <c r="H5" i="51"/>
  <c r="L8" i="54" s="1"/>
  <c r="K34" i="51"/>
  <c r="R37" i="54" s="1"/>
  <c r="P16" i="51"/>
  <c r="AB19" i="54" s="1"/>
  <c r="G3" i="51"/>
  <c r="J6" i="54" s="1"/>
  <c r="G4" i="51"/>
  <c r="J7" i="54" s="1"/>
  <c r="D12" i="51"/>
  <c r="L32" i="51"/>
  <c r="T35" i="54" s="1"/>
  <c r="E30" i="51"/>
  <c r="G33" i="54" s="1"/>
  <c r="Q25" i="51"/>
  <c r="J35" i="51"/>
  <c r="P38" i="54" s="1"/>
  <c r="H17" i="51"/>
  <c r="L20" i="54" s="1"/>
  <c r="H4" i="51"/>
  <c r="L7" i="54" s="1"/>
  <c r="H31" i="51"/>
  <c r="L34" i="54" s="1"/>
  <c r="G8" i="51"/>
  <c r="J11" i="54" s="1"/>
  <c r="L4" i="51"/>
  <c r="T7" i="54" s="1"/>
  <c r="L6" i="51"/>
  <c r="T9" i="54" s="1"/>
  <c r="H42" i="51"/>
  <c r="L45" i="54" s="1"/>
  <c r="Q16" i="51"/>
  <c r="Q15" i="51"/>
  <c r="M6" i="51"/>
  <c r="V9" i="54" s="1"/>
  <c r="H23" i="51"/>
  <c r="L26" i="54" s="1"/>
  <c r="J6" i="51"/>
  <c r="P9" i="54" s="1"/>
  <c r="D21" i="51"/>
  <c r="M34" i="51"/>
  <c r="V37" i="54" s="1"/>
  <c r="G33" i="51"/>
  <c r="J36" i="54" s="1"/>
  <c r="J20" i="51"/>
  <c r="P23" i="54" s="1"/>
  <c r="N28" i="51"/>
  <c r="X31" i="54" s="1"/>
  <c r="Q33" i="51"/>
  <c r="K12" i="51"/>
  <c r="R15" i="54" s="1"/>
  <c r="F22" i="51"/>
  <c r="H25" i="54" s="1"/>
  <c r="O42" i="51"/>
  <c r="Z45" i="54" s="1"/>
  <c r="K40" i="51"/>
  <c r="R43" i="54" s="1"/>
  <c r="Q21" i="51"/>
  <c r="E17" i="51"/>
  <c r="G20" i="54" s="1"/>
  <c r="O33" i="51"/>
  <c r="Z36" i="54" s="1"/>
  <c r="J30" i="51"/>
  <c r="P33" i="54" s="1"/>
  <c r="H30" i="51"/>
  <c r="L33" i="54" s="1"/>
  <c r="K33" i="51"/>
  <c r="R36" i="54" s="1"/>
  <c r="O12" i="51"/>
  <c r="Z15" i="54" s="1"/>
  <c r="O41" i="51"/>
  <c r="Z44" i="54" s="1"/>
  <c r="D40" i="51"/>
  <c r="Q24" i="51"/>
  <c r="K27" i="51"/>
  <c r="R30" i="54" s="1"/>
  <c r="L26" i="51"/>
  <c r="T29" i="54" s="1"/>
  <c r="I27" i="51"/>
  <c r="N30" i="54" s="1"/>
  <c r="Q37" i="51"/>
  <c r="D24" i="51"/>
  <c r="J37" i="51"/>
  <c r="P40" i="54" s="1"/>
  <c r="J17" i="51"/>
  <c r="P20" i="54" s="1"/>
  <c r="D19" i="51"/>
  <c r="N38" i="51"/>
  <c r="X41" i="54" s="1"/>
  <c r="N37" i="51"/>
  <c r="X40" i="54" s="1"/>
  <c r="M22" i="51"/>
  <c r="V25" i="54" s="1"/>
  <c r="M18" i="51"/>
  <c r="V21" i="54" s="1"/>
  <c r="P42" i="51"/>
  <c r="AB45" i="54" s="1"/>
  <c r="I31" i="51"/>
  <c r="N34" i="54" s="1"/>
  <c r="M21" i="51"/>
  <c r="V24" i="54" s="1"/>
  <c r="O20" i="51"/>
  <c r="Z23" i="54" s="1"/>
  <c r="M19" i="51"/>
  <c r="V22" i="54" s="1"/>
  <c r="L42" i="51"/>
  <c r="T45" i="54" s="1"/>
  <c r="J26" i="51"/>
  <c r="P29" i="54" s="1"/>
  <c r="P29" i="51"/>
  <c r="AB32" i="54" s="1"/>
  <c r="P22" i="51"/>
  <c r="AB25" i="54" s="1"/>
  <c r="J36" i="51"/>
  <c r="P39" i="54" s="1"/>
  <c r="O24" i="51"/>
  <c r="Z27" i="54" s="1"/>
  <c r="H12" i="51"/>
  <c r="L15" i="54" s="1"/>
  <c r="P20" i="51"/>
  <c r="AB23" i="54" s="1"/>
  <c r="M26" i="51"/>
  <c r="V29" i="54" s="1"/>
  <c r="M9" i="51"/>
  <c r="V12" i="54" s="1"/>
  <c r="G34" i="51"/>
  <c r="J37" i="54" s="1"/>
  <c r="D29" i="51"/>
  <c r="P30" i="51"/>
  <c r="AB33" i="54" s="1"/>
  <c r="J25" i="51"/>
  <c r="P28" i="54" s="1"/>
  <c r="N19" i="51"/>
  <c r="X22" i="54" s="1"/>
  <c r="E26" i="51"/>
  <c r="G29" i="54" s="1"/>
  <c r="K26" i="51"/>
  <c r="R29" i="54" s="1"/>
  <c r="I35" i="51"/>
  <c r="N38" i="54" s="1"/>
  <c r="G24" i="51"/>
  <c r="J27" i="54" s="1"/>
  <c r="Q29" i="51"/>
  <c r="P27" i="51"/>
  <c r="AB30" i="54" s="1"/>
  <c r="O19" i="51"/>
  <c r="Z22" i="54" s="1"/>
  <c r="Q30" i="51"/>
  <c r="E42" i="51"/>
  <c r="G45" i="54" s="1"/>
  <c r="K19" i="51"/>
  <c r="R22" i="54" s="1"/>
  <c r="H38" i="51"/>
  <c r="L41" i="54" s="1"/>
  <c r="M40" i="51"/>
  <c r="V43" i="54" s="1"/>
  <c r="O38" i="51"/>
  <c r="Z41" i="54" s="1"/>
  <c r="H25" i="51"/>
  <c r="L28" i="54" s="1"/>
  <c r="F11" i="51"/>
  <c r="H14" i="54" s="1"/>
  <c r="N20" i="51"/>
  <c r="X23" i="54" s="1"/>
  <c r="G40" i="51"/>
  <c r="J43" i="54" s="1"/>
  <c r="N17" i="51"/>
  <c r="X20" i="54" s="1"/>
  <c r="J33" i="51"/>
  <c r="P36" i="54" s="1"/>
  <c r="Q12" i="51"/>
  <c r="G21" i="51"/>
  <c r="J24" i="54" s="1"/>
  <c r="P11" i="51"/>
  <c r="AB14" i="54" s="1"/>
  <c r="K24" i="51"/>
  <c r="R27" i="54" s="1"/>
  <c r="H35" i="51"/>
  <c r="L38" i="54" s="1"/>
  <c r="G16" i="51"/>
  <c r="J19" i="54" s="1"/>
  <c r="Q19" i="51"/>
  <c r="K42" i="51"/>
  <c r="R45" i="54" s="1"/>
  <c r="G32" i="51"/>
  <c r="J35" i="54" s="1"/>
  <c r="P32" i="51"/>
  <c r="AB35" i="54" s="1"/>
  <c r="O31" i="51"/>
  <c r="Z34" i="54" s="1"/>
  <c r="H27" i="51"/>
  <c r="L30" i="54" s="1"/>
  <c r="P37" i="51"/>
  <c r="AB40" i="54" s="1"/>
  <c r="P39" i="51"/>
  <c r="AB42" i="54" s="1"/>
  <c r="H28" i="51"/>
  <c r="L31" i="54" s="1"/>
  <c r="N41" i="51"/>
  <c r="X44" i="54" s="1"/>
  <c r="G9" i="51"/>
  <c r="J12" i="54" s="1"/>
  <c r="N11" i="51"/>
  <c r="X14" i="54" s="1"/>
  <c r="L30" i="51"/>
  <c r="T33" i="54" s="1"/>
  <c r="M30" i="51"/>
  <c r="V33" i="54" s="1"/>
  <c r="K13" i="51"/>
  <c r="R16" i="54" s="1"/>
  <c r="D16" i="51"/>
  <c r="D37" i="51"/>
  <c r="J39" i="51"/>
  <c r="P42" i="54" s="1"/>
  <c r="F34" i="51"/>
  <c r="H37" i="54" s="1"/>
  <c r="E27" i="51"/>
  <c r="G30" i="54" s="1"/>
  <c r="I21" i="51"/>
  <c r="N24" i="54" s="1"/>
  <c r="M42" i="51"/>
  <c r="V45" i="54" s="1"/>
  <c r="L28" i="51"/>
  <c r="T31" i="54" s="1"/>
  <c r="N31" i="51"/>
  <c r="X34" i="54" s="1"/>
  <c r="P34" i="51"/>
  <c r="AB37" i="54" s="1"/>
  <c r="O29" i="51"/>
  <c r="Z32" i="54" s="1"/>
  <c r="I41" i="51"/>
  <c r="N44" i="54" s="1"/>
  <c r="K28" i="51"/>
  <c r="R31" i="54" s="1"/>
  <c r="E41" i="51"/>
  <c r="G44" i="54" s="1"/>
  <c r="L9" i="51"/>
  <c r="T12" i="54" s="1"/>
  <c r="F39" i="51"/>
  <c r="H42" i="54" s="1"/>
  <c r="M36" i="51"/>
  <c r="V39" i="54" s="1"/>
  <c r="E40" i="51"/>
  <c r="G43" i="54" s="1"/>
  <c r="E39" i="51"/>
  <c r="G42" i="54" s="1"/>
  <c r="I11" i="51"/>
  <c r="N14" i="54" s="1"/>
  <c r="P18" i="51"/>
  <c r="AB21" i="54" s="1"/>
  <c r="K14" i="51"/>
  <c r="R17" i="54" s="1"/>
  <c r="D38" i="51"/>
  <c r="N36" i="51"/>
  <c r="X39" i="54" s="1"/>
  <c r="M38" i="51"/>
  <c r="V41" i="54" s="1"/>
  <c r="M32" i="51"/>
  <c r="V35" i="54" s="1"/>
  <c r="N39" i="51"/>
  <c r="X42" i="54" s="1"/>
  <c r="F25" i="51"/>
  <c r="H28" i="54" s="1"/>
  <c r="D33" i="51"/>
  <c r="M17" i="51"/>
  <c r="V20" i="54" s="1"/>
  <c r="G42" i="51"/>
  <c r="J45" i="54" s="1"/>
  <c r="O39" i="51"/>
  <c r="Z42" i="54" s="1"/>
  <c r="G23" i="51"/>
  <c r="J26" i="54" s="1"/>
  <c r="F42" i="51"/>
  <c r="H45" i="54" s="1"/>
  <c r="N22" i="51"/>
  <c r="X25" i="54" s="1"/>
  <c r="Q35" i="51"/>
  <c r="P26" i="51"/>
  <c r="AB29" i="54" s="1"/>
  <c r="I24" i="51"/>
  <c r="N27" i="54" s="1"/>
  <c r="F41" i="51"/>
  <c r="H44" i="54" s="1"/>
  <c r="J34" i="51"/>
  <c r="P37" i="54" s="1"/>
  <c r="D20" i="51"/>
  <c r="J40" i="51"/>
  <c r="P43" i="54" s="1"/>
  <c r="G38" i="51"/>
  <c r="J41" i="54" s="1"/>
  <c r="O35" i="51"/>
  <c r="Z38" i="54" s="1"/>
  <c r="K9" i="51"/>
  <c r="R12" i="54" s="1"/>
  <c r="F5" i="51"/>
  <c r="H8" i="54" s="1"/>
  <c r="F35" i="51"/>
  <c r="H38" i="54" s="1"/>
  <c r="F38" i="51"/>
  <c r="H41" i="54" s="1"/>
  <c r="E34" i="51"/>
  <c r="G37" i="54" s="1"/>
  <c r="K23" i="51"/>
  <c r="R26" i="54" s="1"/>
  <c r="L41" i="51"/>
  <c r="T44" i="54" s="1"/>
  <c r="G19" i="51"/>
  <c r="J22" i="54" s="1"/>
  <c r="P19" i="51"/>
  <c r="AB22" i="54" s="1"/>
  <c r="N25" i="51"/>
  <c r="X28" i="54" s="1"/>
  <c r="J11" i="51"/>
  <c r="P14" i="54" s="1"/>
  <c r="I17" i="51"/>
  <c r="N20" i="54" s="1"/>
  <c r="D23" i="51"/>
  <c r="F37" i="51"/>
  <c r="H40" i="54" s="1"/>
  <c r="I40" i="51"/>
  <c r="N43" i="54" s="1"/>
  <c r="I20" i="51"/>
  <c r="N23" i="54" s="1"/>
  <c r="Q40" i="51"/>
  <c r="H19" i="51"/>
  <c r="L22" i="54" s="1"/>
  <c r="P40" i="51"/>
  <c r="AB43" i="54" s="1"/>
  <c r="N35" i="51"/>
  <c r="X38" i="54" s="1"/>
  <c r="I23" i="51"/>
  <c r="N26" i="54" s="1"/>
  <c r="L22" i="51"/>
  <c r="T25" i="54" s="1"/>
  <c r="E35" i="51"/>
  <c r="G38" i="54" s="1"/>
  <c r="Q17" i="51"/>
  <c r="H37" i="51"/>
  <c r="L40" i="54" s="1"/>
  <c r="G36" i="51"/>
  <c r="J39" i="54" s="1"/>
  <c r="H33" i="51"/>
  <c r="L36" i="54" s="1"/>
  <c r="P17" i="51"/>
  <c r="AB20" i="54" s="1"/>
  <c r="J21" i="51"/>
  <c r="P24" i="54" s="1"/>
  <c r="O32" i="51"/>
  <c r="Z35" i="54" s="1"/>
  <c r="L23" i="51"/>
  <c r="T26" i="54" s="1"/>
  <c r="P9" i="51"/>
  <c r="AB12" i="54" s="1"/>
  <c r="Q36" i="51"/>
  <c r="E31" i="51"/>
  <c r="G34" i="54" s="1"/>
  <c r="Q34" i="51"/>
  <c r="O23" i="51"/>
  <c r="Z26" i="54" s="1"/>
  <c r="P35" i="51"/>
  <c r="AB38" i="54" s="1"/>
  <c r="P13" i="51"/>
  <c r="AB16" i="54" s="1"/>
  <c r="J10" i="51"/>
  <c r="P13" i="54" s="1"/>
  <c r="L36" i="51"/>
  <c r="T39" i="54" s="1"/>
  <c r="H21" i="51"/>
  <c r="L24" i="54" s="1"/>
  <c r="O25" i="51"/>
  <c r="Z28" i="54" s="1"/>
  <c r="L25" i="51"/>
  <c r="T28" i="54" s="1"/>
  <c r="Q39" i="51"/>
  <c r="G26" i="51"/>
  <c r="J29" i="54" s="1"/>
  <c r="D30" i="51"/>
  <c r="H26" i="51"/>
  <c r="L29" i="54" s="1"/>
  <c r="H29" i="51"/>
  <c r="L32" i="54" s="1"/>
  <c r="M23" i="51"/>
  <c r="V26" i="54" s="1"/>
  <c r="E25" i="51"/>
  <c r="G28" i="54" s="1"/>
  <c r="F19" i="51"/>
  <c r="H22" i="54" s="1"/>
  <c r="G27" i="51"/>
  <c r="J30" i="54" s="1"/>
  <c r="N21" i="51"/>
  <c r="X24" i="54" s="1"/>
  <c r="E37" i="51"/>
  <c r="G40" i="54" s="1"/>
  <c r="E36" i="51"/>
  <c r="G39" i="54" s="1"/>
  <c r="E23" i="51"/>
  <c r="G26" i="54" s="1"/>
  <c r="N23" i="51"/>
  <c r="X26" i="54" s="1"/>
  <c r="E38" i="51"/>
  <c r="G41" i="54" s="1"/>
  <c r="F24" i="51"/>
  <c r="H27" i="54" s="1"/>
  <c r="I32" i="51"/>
  <c r="N35" i="54" s="1"/>
  <c r="I39" i="51"/>
  <c r="N42" i="54" s="1"/>
  <c r="F36" i="51"/>
  <c r="H39" i="54" s="1"/>
  <c r="E22" i="51"/>
  <c r="G25" i="54" s="1"/>
  <c r="K37" i="51"/>
  <c r="R40" i="54" s="1"/>
  <c r="M25" i="51"/>
  <c r="V28" i="54" s="1"/>
  <c r="K11" i="51"/>
  <c r="R14" i="54" s="1"/>
  <c r="I38" i="51"/>
  <c r="N41" i="54" s="1"/>
  <c r="I25" i="51"/>
  <c r="N28" i="54" s="1"/>
  <c r="F17" i="51"/>
  <c r="H20" i="54" s="1"/>
  <c r="F20" i="51"/>
  <c r="H23" i="54" s="1"/>
  <c r="K32" i="51"/>
  <c r="R35" i="54" s="1"/>
  <c r="I26" i="51"/>
  <c r="N29" i="54" s="1"/>
  <c r="G39" i="51"/>
  <c r="J42" i="54" s="1"/>
  <c r="D34" i="51"/>
  <c r="O11" i="51"/>
  <c r="Z14" i="54" s="1"/>
  <c r="G28" i="51"/>
  <c r="J31" i="54" s="1"/>
  <c r="L17" i="51"/>
  <c r="T20" i="54" s="1"/>
  <c r="L24" i="51"/>
  <c r="T27" i="54" s="1"/>
  <c r="E11" i="51"/>
  <c r="G14" i="54" s="1"/>
  <c r="P5" i="51"/>
  <c r="AB8" i="54" s="1"/>
  <c r="L20" i="51"/>
  <c r="T23" i="54" s="1"/>
  <c r="E20" i="51"/>
  <c r="G23" i="54" s="1"/>
  <c r="P41" i="51"/>
  <c r="AB44" i="54" s="1"/>
  <c r="G25" i="51"/>
  <c r="J28" i="54" s="1"/>
  <c r="D22" i="51"/>
  <c r="G20" i="51"/>
  <c r="J23" i="54" s="1"/>
  <c r="E12" i="51"/>
  <c r="G15" i="54" s="1"/>
  <c r="O9" i="51"/>
  <c r="Z12" i="54" s="1"/>
  <c r="G41" i="51"/>
  <c r="J44" i="54" s="1"/>
  <c r="F40" i="51"/>
  <c r="H43" i="54" s="1"/>
  <c r="I29" i="51"/>
  <c r="N32" i="54" s="1"/>
  <c r="D11" i="51"/>
  <c r="F23" i="51"/>
  <c r="H26" i="54" s="1"/>
  <c r="O28" i="51"/>
  <c r="Z31" i="54" s="1"/>
  <c r="Q32" i="51"/>
  <c r="M33" i="51"/>
  <c r="V36" i="54" s="1"/>
  <c r="L38" i="51"/>
  <c r="T41" i="54" s="1"/>
  <c r="Q22" i="51"/>
  <c r="L19" i="51"/>
  <c r="T22" i="54" s="1"/>
  <c r="P7" i="51"/>
  <c r="AB10" i="54" s="1"/>
  <c r="J3" i="51"/>
  <c r="P6" i="54" s="1"/>
  <c r="P36" i="51"/>
  <c r="AB39" i="54" s="1"/>
  <c r="D26" i="51"/>
  <c r="J23" i="51"/>
  <c r="P26" i="54" s="1"/>
  <c r="E19" i="51"/>
  <c r="G22" i="54" s="1"/>
  <c r="F30" i="51"/>
  <c r="H33" i="54" s="1"/>
  <c r="K30" i="51"/>
  <c r="R33" i="54" s="1"/>
  <c r="F31" i="51"/>
  <c r="H34" i="54" s="1"/>
  <c r="L11" i="51"/>
  <c r="T14" i="54" s="1"/>
  <c r="M12" i="51"/>
  <c r="V15" i="54" s="1"/>
  <c r="O26" i="51"/>
  <c r="Z29" i="54" s="1"/>
  <c r="H40" i="51"/>
  <c r="L43" i="54" s="1"/>
  <c r="J41" i="51"/>
  <c r="P44" i="54" s="1"/>
  <c r="G29" i="51"/>
  <c r="J32" i="54" s="1"/>
  <c r="F26" i="51"/>
  <c r="H29" i="54" s="1"/>
  <c r="Q38" i="51"/>
  <c r="O17" i="51"/>
  <c r="Z20" i="54" s="1"/>
  <c r="L12" i="51"/>
  <c r="T15" i="54" s="1"/>
  <c r="Q9" i="51"/>
  <c r="N12" i="51"/>
  <c r="X15" i="54" s="1"/>
  <c r="P21" i="51"/>
  <c r="AB24" i="54" s="1"/>
  <c r="K41" i="51"/>
  <c r="R44" i="54" s="1"/>
  <c r="P28" i="51"/>
  <c r="AB31" i="54" s="1"/>
  <c r="C26" i="51" l="1"/>
  <c r="B29" i="54" s="1"/>
  <c r="C29" i="54" s="1"/>
  <c r="B26" i="51"/>
  <c r="D29" i="54"/>
  <c r="B38" i="51"/>
  <c r="C38" i="51"/>
  <c r="B41" i="54" s="1"/>
  <c r="C41" i="54" s="1"/>
  <c r="D41" i="54"/>
  <c r="C40" i="51"/>
  <c r="B43" i="54" s="1"/>
  <c r="C43" i="54" s="1"/>
  <c r="D43" i="54"/>
  <c r="B40" i="51"/>
  <c r="C13" i="51"/>
  <c r="B16" i="54" s="1"/>
  <c r="C16" i="54" s="1"/>
  <c r="D16" i="54"/>
  <c r="B13" i="51"/>
  <c r="B9" i="51"/>
  <c r="D12" i="54"/>
  <c r="C9" i="51"/>
  <c r="B12" i="54" s="1"/>
  <c r="C12" i="54" s="1"/>
  <c r="D44" i="54"/>
  <c r="B41" i="51"/>
  <c r="C41" i="51"/>
  <c r="B44" i="54" s="1"/>
  <c r="C44" i="54" s="1"/>
  <c r="B36" i="51"/>
  <c r="D39" i="54"/>
  <c r="C36" i="51"/>
  <c r="B39" i="54" s="1"/>
  <c r="C39" i="54" s="1"/>
  <c r="C8" i="51"/>
  <c r="B11" i="54" s="1"/>
  <c r="C11" i="54" s="1"/>
  <c r="B8" i="51"/>
  <c r="D11" i="54"/>
  <c r="C18" i="51"/>
  <c r="B21" i="54" s="1"/>
  <c r="C21" i="54" s="1"/>
  <c r="B18" i="51"/>
  <c r="D21" i="54"/>
  <c r="D6" i="54"/>
  <c r="B3" i="51"/>
  <c r="C3" i="51"/>
  <c r="B6" i="54" s="1"/>
  <c r="C6" i="54" s="1"/>
  <c r="C6" i="51"/>
  <c r="B9" i="54" s="1"/>
  <c r="C9" i="54" s="1"/>
  <c r="B6" i="51"/>
  <c r="D9" i="54"/>
  <c r="C25" i="51"/>
  <c r="B28" i="54" s="1"/>
  <c r="C28" i="54" s="1"/>
  <c r="B25" i="51"/>
  <c r="D28" i="54"/>
  <c r="C34" i="51"/>
  <c r="B37" i="54" s="1"/>
  <c r="C37" i="54" s="1"/>
  <c r="D37" i="54"/>
  <c r="B34" i="51"/>
  <c r="D33" i="54"/>
  <c r="B30" i="51"/>
  <c r="C30" i="51"/>
  <c r="B33" i="54" s="1"/>
  <c r="C33" i="54" s="1"/>
  <c r="B37" i="51"/>
  <c r="C37" i="51"/>
  <c r="B40" i="54" s="1"/>
  <c r="C40" i="54" s="1"/>
  <c r="D40" i="54"/>
  <c r="C32" i="51"/>
  <c r="B35" i="54" s="1"/>
  <c r="C35" i="54" s="1"/>
  <c r="B32" i="51"/>
  <c r="D35" i="54"/>
  <c r="B4" i="51"/>
  <c r="C4" i="51"/>
  <c r="B7" i="54" s="1"/>
  <c r="C7" i="54" s="1"/>
  <c r="D7" i="54"/>
  <c r="D31" i="54"/>
  <c r="C28" i="51"/>
  <c r="B31" i="54" s="1"/>
  <c r="C31" i="54" s="1"/>
  <c r="B28" i="51"/>
  <c r="C35" i="51"/>
  <c r="B38" i="54" s="1"/>
  <c r="C38" i="54" s="1"/>
  <c r="D38" i="54"/>
  <c r="B35" i="51"/>
  <c r="C31" i="51"/>
  <c r="B34" i="54" s="1"/>
  <c r="C34" i="54" s="1"/>
  <c r="D34" i="54"/>
  <c r="B31" i="51"/>
  <c r="D25" i="54"/>
  <c r="C22" i="51"/>
  <c r="B25" i="54" s="1"/>
  <c r="C25" i="54" s="1"/>
  <c r="B22" i="51"/>
  <c r="B23" i="51"/>
  <c r="D26" i="54"/>
  <c r="C23" i="51"/>
  <c r="B26" i="54" s="1"/>
  <c r="C26" i="54" s="1"/>
  <c r="B20" i="51"/>
  <c r="C20" i="51"/>
  <c r="B23" i="54" s="1"/>
  <c r="C23" i="54" s="1"/>
  <c r="D23" i="54"/>
  <c r="D36" i="54"/>
  <c r="C33" i="51"/>
  <c r="B36" i="54" s="1"/>
  <c r="C36" i="54" s="1"/>
  <c r="B33" i="51"/>
  <c r="D19" i="54"/>
  <c r="C16" i="51"/>
  <c r="B19" i="54" s="1"/>
  <c r="C19" i="54" s="1"/>
  <c r="B16" i="51"/>
  <c r="C29" i="51"/>
  <c r="B32" i="54" s="1"/>
  <c r="C32" i="54" s="1"/>
  <c r="D32" i="54"/>
  <c r="B29" i="51"/>
  <c r="C24" i="51"/>
  <c r="B27" i="54" s="1"/>
  <c r="C27" i="54" s="1"/>
  <c r="B24" i="51"/>
  <c r="D27" i="54"/>
  <c r="B21" i="51"/>
  <c r="C21" i="51"/>
  <c r="B24" i="54" s="1"/>
  <c r="C24" i="54" s="1"/>
  <c r="D24" i="54"/>
  <c r="D42" i="54"/>
  <c r="C39" i="51"/>
  <c r="B42" i="54" s="1"/>
  <c r="C42" i="54" s="1"/>
  <c r="B39" i="51"/>
  <c r="D10" i="54"/>
  <c r="C7" i="51"/>
  <c r="B10" i="54" s="1"/>
  <c r="C10" i="54" s="1"/>
  <c r="B7" i="51"/>
  <c r="D20" i="54"/>
  <c r="B17" i="51"/>
  <c r="C17" i="51"/>
  <c r="B20" i="54" s="1"/>
  <c r="C20" i="54" s="1"/>
  <c r="C10" i="51"/>
  <c r="B13" i="54" s="1"/>
  <c r="C13" i="54" s="1"/>
  <c r="D13" i="54"/>
  <c r="B10" i="51"/>
  <c r="C5" i="51"/>
  <c r="B8" i="54" s="1"/>
  <c r="C8" i="54" s="1"/>
  <c r="D8" i="54"/>
  <c r="B5" i="51"/>
  <c r="D45" i="54"/>
  <c r="B42" i="51"/>
  <c r="C42" i="51"/>
  <c r="B45" i="54" s="1"/>
  <c r="C45" i="54" s="1"/>
  <c r="B11" i="51"/>
  <c r="D14" i="54"/>
  <c r="C11" i="51"/>
  <c r="B14" i="54" s="1"/>
  <c r="C14" i="54" s="1"/>
  <c r="C19" i="51"/>
  <c r="B22" i="54" s="1"/>
  <c r="C22" i="54" s="1"/>
  <c r="B19" i="51"/>
  <c r="D22" i="54"/>
  <c r="C12" i="51"/>
  <c r="B15" i="54" s="1"/>
  <c r="C15" i="54" s="1"/>
  <c r="B12" i="51"/>
  <c r="D15" i="54"/>
  <c r="B27" i="51"/>
  <c r="C27" i="51"/>
  <c r="B30" i="54" s="1"/>
  <c r="C30" i="54" s="1"/>
  <c r="D30" i="54"/>
  <c r="B14" i="51"/>
  <c r="D17" i="54"/>
  <c r="C14" i="51"/>
  <c r="B17" i="54" s="1"/>
  <c r="C17" i="54" s="1"/>
  <c r="C15" i="51"/>
  <c r="B18" i="54" s="1"/>
  <c r="C18" i="54" s="1"/>
  <c r="B15" i="51"/>
  <c r="D18" i="54"/>
  <c r="AA42" i="54" l="1"/>
  <c r="W42" i="54"/>
  <c r="Y42" i="54"/>
  <c r="M42" i="54"/>
  <c r="AC42" i="54"/>
  <c r="O42" i="54"/>
  <c r="I42" i="54"/>
  <c r="E42" i="54"/>
  <c r="F42" i="54" s="1"/>
  <c r="S42" i="54"/>
  <c r="K42" i="54"/>
  <c r="U42" i="54"/>
  <c r="Q42" i="54"/>
  <c r="O18" i="54"/>
  <c r="W18" i="54"/>
  <c r="E18" i="54"/>
  <c r="F18" i="54" s="1"/>
  <c r="U18" i="54"/>
  <c r="M18" i="54"/>
  <c r="K18" i="54"/>
  <c r="Y18" i="54"/>
  <c r="I18" i="54"/>
  <c r="Q18" i="54"/>
  <c r="AA18" i="54"/>
  <c r="AC18" i="54"/>
  <c r="S18" i="54"/>
  <c r="AA17" i="54"/>
  <c r="W17" i="54"/>
  <c r="K17" i="54"/>
  <c r="I17" i="54"/>
  <c r="Q17" i="54"/>
  <c r="O17" i="54"/>
  <c r="S17" i="54"/>
  <c r="M17" i="54"/>
  <c r="Y17" i="54"/>
  <c r="AC17" i="54"/>
  <c r="U17" i="54"/>
  <c r="E17" i="54"/>
  <c r="F17" i="54" s="1"/>
  <c r="E22" i="54"/>
  <c r="F22" i="54" s="1"/>
  <c r="W22" i="54"/>
  <c r="M22" i="54"/>
  <c r="I22" i="54"/>
  <c r="Q22" i="54"/>
  <c r="AA22" i="54"/>
  <c r="O22" i="54"/>
  <c r="Y22" i="54"/>
  <c r="U22" i="54"/>
  <c r="AC22" i="54"/>
  <c r="K22" i="54"/>
  <c r="S22" i="54"/>
  <c r="W14" i="54"/>
  <c r="Q14" i="54"/>
  <c r="AC14" i="54"/>
  <c r="K14" i="54"/>
  <c r="AA14" i="54"/>
  <c r="S14" i="54"/>
  <c r="I14" i="54"/>
  <c r="O14" i="54"/>
  <c r="U14" i="54"/>
  <c r="M14" i="54"/>
  <c r="Y14" i="54"/>
  <c r="E14" i="54"/>
  <c r="F14" i="54" s="1"/>
  <c r="Q45" i="54"/>
  <c r="U45" i="54"/>
  <c r="AA45" i="54"/>
  <c r="AC45" i="54"/>
  <c r="K45" i="54"/>
  <c r="M45" i="54"/>
  <c r="O45" i="54"/>
  <c r="E45" i="54"/>
  <c r="F45" i="54" s="1"/>
  <c r="Y45" i="54"/>
  <c r="S45" i="54"/>
  <c r="I45" i="54"/>
  <c r="W45" i="54"/>
  <c r="U10" i="54"/>
  <c r="AC10" i="54"/>
  <c r="AA10" i="54"/>
  <c r="W10" i="54"/>
  <c r="S10" i="54"/>
  <c r="E10" i="54"/>
  <c r="F10" i="54" s="1"/>
  <c r="Q10" i="54"/>
  <c r="I10" i="54"/>
  <c r="M10" i="54"/>
  <c r="O10" i="54"/>
  <c r="K10" i="54"/>
  <c r="Y10" i="54"/>
  <c r="K24" i="54"/>
  <c r="S24" i="54"/>
  <c r="Y24" i="54"/>
  <c r="I24" i="54"/>
  <c r="O24" i="54"/>
  <c r="M24" i="54"/>
  <c r="W24" i="54"/>
  <c r="E24" i="54"/>
  <c r="F24" i="54" s="1"/>
  <c r="AA24" i="54"/>
  <c r="AC24" i="54"/>
  <c r="U24" i="54"/>
  <c r="Q24" i="54"/>
  <c r="AC38" i="54"/>
  <c r="S38" i="54"/>
  <c r="I38" i="54"/>
  <c r="AA38" i="54"/>
  <c r="W38" i="54"/>
  <c r="U38" i="54"/>
  <c r="E38" i="54"/>
  <c r="F38" i="54" s="1"/>
  <c r="M38" i="54"/>
  <c r="Q38" i="54"/>
  <c r="Y38" i="54"/>
  <c r="O38" i="54"/>
  <c r="K38" i="54"/>
  <c r="AA31" i="54"/>
  <c r="W31" i="54"/>
  <c r="S31" i="54"/>
  <c r="Y31" i="54"/>
  <c r="M31" i="54"/>
  <c r="K31" i="54"/>
  <c r="I31" i="54"/>
  <c r="Q31" i="54"/>
  <c r="O31" i="54"/>
  <c r="U31" i="54"/>
  <c r="AC31" i="54"/>
  <c r="E31" i="54"/>
  <c r="F31" i="54" s="1"/>
  <c r="U35" i="54"/>
  <c r="E35" i="54"/>
  <c r="F35" i="54" s="1"/>
  <c r="W35" i="54"/>
  <c r="Y35" i="54"/>
  <c r="O35" i="54"/>
  <c r="S35" i="54"/>
  <c r="I35" i="54"/>
  <c r="M35" i="54"/>
  <c r="AC35" i="54"/>
  <c r="AA35" i="54"/>
  <c r="K35" i="54"/>
  <c r="Q35" i="54"/>
  <c r="S33" i="54"/>
  <c r="E33" i="54"/>
  <c r="F33" i="54" s="1"/>
  <c r="U33" i="54"/>
  <c r="O33" i="54"/>
  <c r="AC33" i="54"/>
  <c r="Y33" i="54"/>
  <c r="Q33" i="54"/>
  <c r="K33" i="54"/>
  <c r="M33" i="54"/>
  <c r="W33" i="54"/>
  <c r="AA33" i="54"/>
  <c r="I33" i="54"/>
  <c r="AC28" i="54"/>
  <c r="K28" i="54"/>
  <c r="AA28" i="54"/>
  <c r="M28" i="54"/>
  <c r="I28" i="54"/>
  <c r="W28" i="54"/>
  <c r="U28" i="54"/>
  <c r="O28" i="54"/>
  <c r="Q28" i="54"/>
  <c r="Y28" i="54"/>
  <c r="E28" i="54"/>
  <c r="F28" i="54" s="1"/>
  <c r="S28" i="54"/>
  <c r="AE6" i="54"/>
  <c r="Y6" i="54"/>
  <c r="E6" i="54"/>
  <c r="F6" i="54" s="1"/>
  <c r="W6" i="54"/>
  <c r="I6" i="54"/>
  <c r="U6" i="54"/>
  <c r="AC6" i="54"/>
  <c r="K6" i="54"/>
  <c r="M6" i="54"/>
  <c r="Q6" i="54"/>
  <c r="S6" i="54"/>
  <c r="O6" i="54"/>
  <c r="AA6" i="54"/>
  <c r="M11" i="54"/>
  <c r="O11" i="54"/>
  <c r="W11" i="54"/>
  <c r="AA11" i="54"/>
  <c r="I11" i="54"/>
  <c r="AC11" i="54"/>
  <c r="K11" i="54"/>
  <c r="S11" i="54"/>
  <c r="U11" i="54"/>
  <c r="Q11" i="54"/>
  <c r="Y11" i="54"/>
  <c r="E11" i="54"/>
  <c r="F11" i="54" s="1"/>
  <c r="Q39" i="54"/>
  <c r="Y39" i="54"/>
  <c r="AC39" i="54"/>
  <c r="I39" i="54"/>
  <c r="W39" i="54"/>
  <c r="K39" i="54"/>
  <c r="E39" i="54"/>
  <c r="F39" i="54" s="1"/>
  <c r="AA39" i="54"/>
  <c r="S39" i="54"/>
  <c r="M39" i="54"/>
  <c r="U39" i="54"/>
  <c r="O39" i="54"/>
  <c r="Y44" i="54"/>
  <c r="I44" i="54"/>
  <c r="W44" i="54"/>
  <c r="AA44" i="54"/>
  <c r="K44" i="54"/>
  <c r="S44" i="54"/>
  <c r="AC44" i="54"/>
  <c r="O44" i="54"/>
  <c r="M44" i="54"/>
  <c r="Q44" i="54"/>
  <c r="U44" i="54"/>
  <c r="E44" i="54"/>
  <c r="F44" i="54" s="1"/>
  <c r="K43" i="54"/>
  <c r="Y43" i="54"/>
  <c r="O43" i="54"/>
  <c r="M43" i="54"/>
  <c r="W43" i="54"/>
  <c r="AC43" i="54"/>
  <c r="S43" i="54"/>
  <c r="I43" i="54"/>
  <c r="E43" i="54"/>
  <c r="F43" i="54" s="1"/>
  <c r="Q43" i="54"/>
  <c r="U43" i="54"/>
  <c r="AA43" i="54"/>
  <c r="AC30" i="54"/>
  <c r="O30" i="54"/>
  <c r="K30" i="54"/>
  <c r="E30" i="54"/>
  <c r="F30" i="54" s="1"/>
  <c r="I30" i="54"/>
  <c r="W30" i="54"/>
  <c r="AA30" i="54"/>
  <c r="S30" i="54"/>
  <c r="M30" i="54"/>
  <c r="U30" i="54"/>
  <c r="Y30" i="54"/>
  <c r="Q30" i="54"/>
  <c r="Q15" i="54"/>
  <c r="W15" i="54"/>
  <c r="AC15" i="54"/>
  <c r="AA15" i="54"/>
  <c r="E15" i="54"/>
  <c r="F15" i="54" s="1"/>
  <c r="O15" i="54"/>
  <c r="U15" i="54"/>
  <c r="I15" i="54"/>
  <c r="S15" i="54"/>
  <c r="Y15" i="54"/>
  <c r="M15" i="54"/>
  <c r="K15" i="54"/>
  <c r="M13" i="54"/>
  <c r="Q13" i="54"/>
  <c r="W13" i="54"/>
  <c r="O13" i="54"/>
  <c r="U13" i="54"/>
  <c r="Y13" i="54"/>
  <c r="AC13" i="54"/>
  <c r="E13" i="54"/>
  <c r="F13" i="54" s="1"/>
  <c r="S13" i="54"/>
  <c r="K13" i="54"/>
  <c r="AA13" i="54"/>
  <c r="I13" i="54"/>
  <c r="W20" i="54"/>
  <c r="U20" i="54"/>
  <c r="Q20" i="54"/>
  <c r="AC20" i="54"/>
  <c r="Y20" i="54"/>
  <c r="I20" i="54"/>
  <c r="M20" i="54"/>
  <c r="O20" i="54"/>
  <c r="K20" i="54"/>
  <c r="E20" i="54"/>
  <c r="F20" i="54" s="1"/>
  <c r="S20" i="54"/>
  <c r="AA20" i="54"/>
  <c r="W34" i="54"/>
  <c r="K34" i="54"/>
  <c r="U34" i="54"/>
  <c r="AC34" i="54"/>
  <c r="O34" i="54"/>
  <c r="S34" i="54"/>
  <c r="AA34" i="54"/>
  <c r="Y34" i="54"/>
  <c r="M34" i="54"/>
  <c r="Q34" i="54"/>
  <c r="E34" i="54"/>
  <c r="F34" i="54" s="1"/>
  <c r="I34" i="54"/>
  <c r="AC7" i="54"/>
  <c r="S7" i="54"/>
  <c r="AA7" i="54"/>
  <c r="E7" i="54"/>
  <c r="F7" i="54" s="1"/>
  <c r="U7" i="54"/>
  <c r="K7" i="54"/>
  <c r="I7" i="54"/>
  <c r="Y7" i="54"/>
  <c r="W7" i="54"/>
  <c r="M7" i="54"/>
  <c r="O7" i="54"/>
  <c r="Q7" i="54"/>
  <c r="AC21" i="54"/>
  <c r="U21" i="54"/>
  <c r="W21" i="54"/>
  <c r="I21" i="54"/>
  <c r="Y21" i="54"/>
  <c r="K21" i="54"/>
  <c r="E21" i="54"/>
  <c r="F21" i="54" s="1"/>
  <c r="Q21" i="54"/>
  <c r="M21" i="54"/>
  <c r="AA21" i="54"/>
  <c r="S21" i="54"/>
  <c r="O21" i="54"/>
  <c r="Q16" i="54"/>
  <c r="M16" i="54"/>
  <c r="AA16" i="54"/>
  <c r="W16" i="54"/>
  <c r="I16" i="54"/>
  <c r="K16" i="54"/>
  <c r="S16" i="54"/>
  <c r="O16" i="54"/>
  <c r="U16" i="54"/>
  <c r="AC16" i="54"/>
  <c r="Y16" i="54"/>
  <c r="E16" i="54"/>
  <c r="F16" i="54" s="1"/>
  <c r="W29" i="54"/>
  <c r="Q29" i="54"/>
  <c r="U29" i="54"/>
  <c r="I29" i="54"/>
  <c r="S29" i="54"/>
  <c r="E29" i="54"/>
  <c r="F29" i="54" s="1"/>
  <c r="M29" i="54"/>
  <c r="AC29" i="54"/>
  <c r="K29" i="54"/>
  <c r="Y29" i="54"/>
  <c r="O29" i="54"/>
  <c r="AA29" i="54"/>
  <c r="K36" i="54"/>
  <c r="AA36" i="54"/>
  <c r="AC36" i="54"/>
  <c r="W36" i="54"/>
  <c r="Q36" i="54"/>
  <c r="E36" i="54"/>
  <c r="F36" i="54" s="1"/>
  <c r="O36" i="54"/>
  <c r="I36" i="54"/>
  <c r="U36" i="54"/>
  <c r="S36" i="54"/>
  <c r="Y36" i="54"/>
  <c r="M36" i="54"/>
  <c r="E37" i="54"/>
  <c r="F37" i="54" s="1"/>
  <c r="M37" i="54"/>
  <c r="K37" i="54"/>
  <c r="AA37" i="54"/>
  <c r="U37" i="54"/>
  <c r="S37" i="54"/>
  <c r="Q37" i="54"/>
  <c r="AC37" i="54"/>
  <c r="W37" i="54"/>
  <c r="I37" i="54"/>
  <c r="O37" i="54"/>
  <c r="Y37" i="54"/>
  <c r="W12" i="54"/>
  <c r="M12" i="54"/>
  <c r="Q12" i="54"/>
  <c r="S12" i="54"/>
  <c r="E12" i="54"/>
  <c r="F12" i="54" s="1"/>
  <c r="AA12" i="54"/>
  <c r="Y12" i="54"/>
  <c r="K12" i="54"/>
  <c r="I12" i="54"/>
  <c r="U12" i="54"/>
  <c r="O12" i="54"/>
  <c r="AC12" i="54"/>
  <c r="U41" i="54"/>
  <c r="O41" i="54"/>
  <c r="AA41" i="54"/>
  <c r="Q41" i="54"/>
  <c r="Y41" i="54"/>
  <c r="K41" i="54"/>
  <c r="W41" i="54"/>
  <c r="AC41" i="54"/>
  <c r="M41" i="54"/>
  <c r="S41" i="54"/>
  <c r="I41" i="54"/>
  <c r="E41" i="54"/>
  <c r="F41" i="54" s="1"/>
  <c r="S8" i="54"/>
  <c r="M8" i="54"/>
  <c r="AA8" i="54"/>
  <c r="Y8" i="54"/>
  <c r="W8" i="54"/>
  <c r="U8" i="54"/>
  <c r="K8" i="54"/>
  <c r="AC8" i="54"/>
  <c r="E8" i="54"/>
  <c r="F8" i="54" s="1"/>
  <c r="I8" i="54"/>
  <c r="O8" i="54"/>
  <c r="Q8" i="54"/>
  <c r="AC27" i="54"/>
  <c r="E27" i="54"/>
  <c r="F27" i="54" s="1"/>
  <c r="I27" i="54"/>
  <c r="Q27" i="54"/>
  <c r="U27" i="54"/>
  <c r="AA27" i="54"/>
  <c r="O27" i="54"/>
  <c r="Y27" i="54"/>
  <c r="S27" i="54"/>
  <c r="W27" i="54"/>
  <c r="K27" i="54"/>
  <c r="M27" i="54"/>
  <c r="Q32" i="54"/>
  <c r="M32" i="54"/>
  <c r="E32" i="54"/>
  <c r="F32" i="54" s="1"/>
  <c r="W32" i="54"/>
  <c r="S32" i="54"/>
  <c r="U32" i="54"/>
  <c r="O32" i="54"/>
  <c r="I32" i="54"/>
  <c r="AA32" i="54"/>
  <c r="AC32" i="54"/>
  <c r="K32" i="54"/>
  <c r="Y32" i="54"/>
  <c r="I19" i="54"/>
  <c r="Q19" i="54"/>
  <c r="K19" i="54"/>
  <c r="AC19" i="54"/>
  <c r="U19" i="54"/>
  <c r="E19" i="54"/>
  <c r="F19" i="54" s="1"/>
  <c r="W19" i="54"/>
  <c r="O19" i="54"/>
  <c r="M19" i="54"/>
  <c r="AA19" i="54"/>
  <c r="S19" i="54"/>
  <c r="Y19" i="54"/>
  <c r="I23" i="54"/>
  <c r="AC23" i="54"/>
  <c r="Q23" i="54"/>
  <c r="Y23" i="54"/>
  <c r="S23" i="54"/>
  <c r="M23" i="54"/>
  <c r="K23" i="54"/>
  <c r="U23" i="54"/>
  <c r="O23" i="54"/>
  <c r="AA23" i="54"/>
  <c r="E23" i="54"/>
  <c r="F23" i="54" s="1"/>
  <c r="W23" i="54"/>
  <c r="Y26" i="54"/>
  <c r="I26" i="54"/>
  <c r="M26" i="54"/>
  <c r="O26" i="54"/>
  <c r="AA26" i="54"/>
  <c r="W26" i="54"/>
  <c r="AC26" i="54"/>
  <c r="K26" i="54"/>
  <c r="Q26" i="54"/>
  <c r="S26" i="54"/>
  <c r="E26" i="54"/>
  <c r="F26" i="54" s="1"/>
  <c r="U26" i="54"/>
  <c r="AA25" i="54"/>
  <c r="M25" i="54"/>
  <c r="K25" i="54"/>
  <c r="U25" i="54"/>
  <c r="O25" i="54"/>
  <c r="W25" i="54"/>
  <c r="Q25" i="54"/>
  <c r="AC25" i="54"/>
  <c r="Y25" i="54"/>
  <c r="I25" i="54"/>
  <c r="E25" i="54"/>
  <c r="F25" i="54" s="1"/>
  <c r="S25" i="54"/>
  <c r="E40" i="54"/>
  <c r="F40" i="54" s="1"/>
  <c r="K40" i="54"/>
  <c r="W40" i="54"/>
  <c r="Y40" i="54"/>
  <c r="M40" i="54"/>
  <c r="Q40" i="54"/>
  <c r="AA40" i="54"/>
  <c r="U40" i="54"/>
  <c r="O40" i="54"/>
  <c r="AC40" i="54"/>
  <c r="I40" i="54"/>
  <c r="S40" i="54"/>
  <c r="S9" i="54"/>
  <c r="AA9" i="54"/>
  <c r="K9" i="54"/>
  <c r="I9" i="54"/>
  <c r="Q9" i="54"/>
  <c r="W9" i="54"/>
  <c r="O9" i="54"/>
  <c r="AC9" i="54"/>
  <c r="Y9" i="54"/>
  <c r="M9" i="54"/>
  <c r="U9" i="54"/>
  <c r="E9" i="54"/>
  <c r="F9" i="54" s="1"/>
</calcChain>
</file>

<file path=xl/sharedStrings.xml><?xml version="1.0" encoding="utf-8"?>
<sst xmlns="http://schemas.openxmlformats.org/spreadsheetml/2006/main" count="1217" uniqueCount="423">
  <si>
    <t>Pts</t>
  </si>
  <si>
    <t>Heat</t>
  </si>
  <si>
    <t>Rider</t>
  </si>
  <si>
    <t>Pos</t>
  </si>
  <si>
    <t>No.</t>
  </si>
  <si>
    <t>Rank</t>
  </si>
  <si>
    <t>Rider No. Ranked</t>
  </si>
  <si>
    <t>Final Scores calc</t>
  </si>
  <si>
    <t>r</t>
  </si>
  <si>
    <t>b</t>
  </si>
  <si>
    <t>w</t>
  </si>
  <si>
    <t>y</t>
  </si>
  <si>
    <t>R</t>
  </si>
  <si>
    <t>Scores</t>
  </si>
  <si>
    <t>1st</t>
  </si>
  <si>
    <t>2nd</t>
  </si>
  <si>
    <t>Progressive Scores</t>
  </si>
  <si>
    <t>3rd</t>
  </si>
  <si>
    <t>Position Count</t>
  </si>
  <si>
    <t>Riders Level on Points have been sorted by Race Wins, Second places etc.</t>
  </si>
  <si>
    <t>Total</t>
  </si>
  <si>
    <t>GP</t>
  </si>
  <si>
    <t>Final</t>
  </si>
  <si>
    <t>Position</t>
  </si>
  <si>
    <t>GP No.</t>
  </si>
  <si>
    <t>Rank 'Y'</t>
  </si>
  <si>
    <t>FINALS</t>
  </si>
  <si>
    <t>=RANK(AH3,AH$3:AH$18)</t>
  </si>
  <si>
    <t>=SUM(Z3+AB3+AD3+AF3+AG3)</t>
  </si>
  <si>
    <t>=RANK(C7,C$7:C$16)+COUNTIF(C$7:C7,C7)-1</t>
  </si>
  <si>
    <t>=SUM(Z3+AB3+AD3+AF3)</t>
  </si>
  <si>
    <t>includes race wins etc.</t>
  </si>
  <si>
    <t>Qualifying Heats</t>
  </si>
  <si>
    <t>Finals Gate Positions</t>
  </si>
  <si>
    <r>
      <t>=OFFSET(DP10,MATCH(</t>
    </r>
    <r>
      <rPr>
        <b/>
        <sz val="10"/>
        <color indexed="10"/>
        <rFont val="Arial"/>
        <family val="2"/>
      </rPr>
      <t>EH15</t>
    </r>
    <r>
      <rPr>
        <sz val="10"/>
        <rFont val="Arial"/>
        <family val="2"/>
      </rPr>
      <t>,DP11:DP26,0),MATCH(</t>
    </r>
    <r>
      <rPr>
        <b/>
        <sz val="10"/>
        <color indexed="12"/>
        <rFont val="Arial"/>
        <family val="2"/>
      </rPr>
      <t>EH16</t>
    </r>
    <r>
      <rPr>
        <sz val="10"/>
        <rFont val="Arial"/>
        <family val="2"/>
      </rPr>
      <t>,DQ10:EF10,0))</t>
    </r>
  </si>
  <si>
    <r>
      <t xml:space="preserve">For </t>
    </r>
    <r>
      <rPr>
        <b/>
        <sz val="10"/>
        <color indexed="10"/>
        <rFont val="Arial"/>
        <family val="2"/>
      </rPr>
      <t>GP x</t>
    </r>
    <r>
      <rPr>
        <sz val="10"/>
        <rFont val="Arial"/>
        <family val="2"/>
      </rPr>
      <t xml:space="preserve"> v </t>
    </r>
    <r>
      <rPr>
        <b/>
        <sz val="10"/>
        <color indexed="12"/>
        <rFont val="Arial"/>
        <family val="2"/>
      </rPr>
      <t>GP y</t>
    </r>
  </si>
  <si>
    <t>Check For Total Match</t>
  </si>
  <si>
    <t>Race Winner</t>
  </si>
  <si>
    <t>Tie Break</t>
  </si>
  <si>
    <t>TB</t>
  </si>
  <si>
    <t>Sum (No Tie Break)</t>
  </si>
  <si>
    <t>Sum (inc TB)</t>
  </si>
  <si>
    <t>=RANK(DA3,$DA$3:$DA$18)+COUNTIF(DA$3:DA3,DA3)-1</t>
  </si>
  <si>
    <t>=RANK(CZ3,$CZ$3:$CZ$18)+COUNTIF(CZ$3:CZ3,CZ3)-1</t>
  </si>
  <si>
    <t>Column CH</t>
  </si>
  <si>
    <t>A</t>
  </si>
  <si>
    <t>B</t>
  </si>
  <si>
    <r>
      <t xml:space="preserve">CHANGE </t>
    </r>
    <r>
      <rPr>
        <b/>
        <sz val="10"/>
        <rFont val="Arial"/>
        <family val="2"/>
      </rPr>
      <t>BX</t>
    </r>
    <r>
      <rPr>
        <sz val="10"/>
        <rFont val="Arial"/>
        <family val="2"/>
      </rPr>
      <t xml:space="preserve"> To suit </t>
    </r>
    <r>
      <rPr>
        <b/>
        <sz val="10"/>
        <rFont val="Arial"/>
        <family val="2"/>
      </rPr>
      <t>CH</t>
    </r>
  </si>
  <si>
    <r>
      <t xml:space="preserve">Ignores wbw </t>
    </r>
    <r>
      <rPr>
        <b/>
        <sz val="10"/>
        <rFont val="Arial"/>
        <family val="2"/>
      </rPr>
      <t>(CZ)</t>
    </r>
  </si>
  <si>
    <r>
      <t xml:space="preserve">Uses wbw </t>
    </r>
    <r>
      <rPr>
        <b/>
        <sz val="10"/>
        <rFont val="Arial"/>
        <family val="2"/>
      </rPr>
      <t>(DA)</t>
    </r>
  </si>
  <si>
    <t>Ex</t>
  </si>
  <si>
    <t>=RANK(DD3,$DD$3:$DD$18)+COUNTIF(DD$3:DD3,DD3)-1</t>
  </si>
  <si>
    <t>Includes GP (DD)</t>
  </si>
  <si>
    <t>C</t>
  </si>
  <si>
    <t>This format includes rider (GP No.) ranking.
Preferred system as at February 5th 2005,
Using Formula C</t>
  </si>
  <si>
    <t>Fill in the race result in Helmet colour order</t>
  </si>
  <si>
    <t>The riders' names will initially appear here.</t>
  </si>
  <si>
    <t>Type the Ballot result here</t>
  </si>
  <si>
    <t>The Riders' names will transfer to here when the Ballot results are entered</t>
  </si>
  <si>
    <t>Helmet colour ballots (Semi Final &amp; Final)</t>
  </si>
  <si>
    <t>NOTE: Consistent Spelling of Riders Names is ESSENTIAL!</t>
  </si>
  <si>
    <t>S/F 1</t>
  </si>
  <si>
    <t>S/F 2</t>
  </si>
  <si>
    <t>FINAL</t>
  </si>
  <si>
    <t>SVEMO</t>
  </si>
  <si>
    <t>SWE</t>
  </si>
  <si>
    <t>Name</t>
  </si>
  <si>
    <t>FMN</t>
  </si>
  <si>
    <t>Nat</t>
  </si>
  <si>
    <t>TRACK GRADING</t>
  </si>
  <si>
    <t>DF+GP</t>
  </si>
  <si>
    <t>Exclusions</t>
  </si>
  <si>
    <t>Who Beat who</t>
  </si>
  <si>
    <t>RESERVES</t>
  </si>
  <si>
    <t>Qualifying Pos for Gates</t>
  </si>
  <si>
    <t>Points</t>
  </si>
  <si>
    <t>Signature of Jury President</t>
  </si>
  <si>
    <t>FINAL RESULTS</t>
  </si>
  <si>
    <t>Actual rider</t>
  </si>
  <si>
    <t>Value</t>
  </si>
  <si>
    <t>Rider  + Ex</t>
  </si>
  <si>
    <t>Replacement</t>
  </si>
  <si>
    <t>Time</t>
  </si>
  <si>
    <t>First</t>
  </si>
  <si>
    <t>Second</t>
  </si>
  <si>
    <t>Fourth</t>
  </si>
  <si>
    <t>Third</t>
  </si>
  <si>
    <t>Replaced /Excluded</t>
  </si>
  <si>
    <t>Actual Rider</t>
  </si>
  <si>
    <t>Rider + Ex</t>
  </si>
  <si>
    <t>Sorted</t>
  </si>
  <si>
    <t>Val</t>
  </si>
  <si>
    <t>SF1</t>
  </si>
  <si>
    <t>SF2</t>
  </si>
  <si>
    <t>INTERVAL &amp; TRACK GRADING</t>
  </si>
  <si>
    <t>GATE BALLOT</t>
  </si>
  <si>
    <t>Place</t>
  </si>
  <si>
    <t>Nation</t>
  </si>
  <si>
    <t>GP No./value</t>
  </si>
  <si>
    <t>$CP=GP No.</t>
  </si>
  <si>
    <t>$CO=GP Value</t>
  </si>
  <si>
    <t>RANK Uses column DH</t>
  </si>
  <si>
    <t>Where riders positions are shown with "=", the riders have equal points and race wins, 2nd places etc.
 They have been automatically sorted for
 Who-Beat-Who Tie-Break</t>
  </si>
  <si>
    <t>Venue</t>
  </si>
  <si>
    <t>Abandoned Meeting</t>
  </si>
  <si>
    <t>The file is configured to automatically show the riders'</t>
  </si>
  <si>
    <t>points should the meeting be abandoned</t>
  </si>
  <si>
    <t xml:space="preserve">Abandoned prior to Heat 16= </t>
  </si>
  <si>
    <t>Meeting void,  No GP Points</t>
  </si>
  <si>
    <t xml:space="preserve">Abandoned prior to heat 20 = </t>
  </si>
  <si>
    <t>Points as accrued up to Heat 16</t>
  </si>
  <si>
    <t>Abandoned after heat 20, but prior to 2nd Semi-Final =</t>
  </si>
  <si>
    <t>Points as accrued up to heat 20</t>
  </si>
  <si>
    <t>Abandoned after 2nd Semi-Final =</t>
  </si>
  <si>
    <t>Preparing for the next GP</t>
  </si>
  <si>
    <r>
      <t xml:space="preserve">Unprotect the </t>
    </r>
    <r>
      <rPr>
        <b/>
        <sz val="10"/>
        <rFont val="Arial"/>
        <family val="2"/>
      </rPr>
      <t>Series</t>
    </r>
    <r>
      <rPr>
        <sz val="10"/>
        <rFont val="Arial"/>
        <family val="2"/>
      </rPr>
      <t xml:space="preserve"> Sheet and highlight the Results for the current GP.</t>
    </r>
  </si>
  <si>
    <r>
      <t xml:space="preserve"> Click on </t>
    </r>
    <r>
      <rPr>
        <b/>
        <sz val="10"/>
        <color indexed="10"/>
        <rFont val="Arial"/>
        <family val="2"/>
      </rPr>
      <t>Copy</t>
    </r>
    <r>
      <rPr>
        <sz val="10"/>
        <rFont val="Arial"/>
        <family val="2"/>
      </rPr>
      <t xml:space="preserve">. </t>
    </r>
  </si>
  <si>
    <r>
      <t xml:space="preserve">Then: </t>
    </r>
    <r>
      <rPr>
        <b/>
        <sz val="10"/>
        <color indexed="10"/>
        <rFont val="Arial"/>
        <family val="2"/>
      </rPr>
      <t>Edit - Paste - Paste Special - Values</t>
    </r>
  </si>
  <si>
    <t>Protect the Series Sheet</t>
  </si>
  <si>
    <t>You can define your own Password</t>
  </si>
  <si>
    <t>Save the file with a unique name:</t>
  </si>
  <si>
    <r>
      <t xml:space="preserve">Now use </t>
    </r>
    <r>
      <rPr>
        <b/>
        <sz val="10"/>
        <rFont val="Arial"/>
        <family val="2"/>
      </rPr>
      <t>SAVE AS</t>
    </r>
    <r>
      <rPr>
        <sz val="10"/>
        <rFont val="Arial"/>
        <family val="2"/>
      </rPr>
      <t xml:space="preserve"> to save the file again with a </t>
    </r>
    <r>
      <rPr>
        <b/>
        <sz val="10"/>
        <rFont val="Arial"/>
        <family val="2"/>
      </rPr>
      <t>NEW</t>
    </r>
    <r>
      <rPr>
        <sz val="10"/>
        <rFont val="Arial"/>
        <family val="2"/>
      </rPr>
      <t xml:space="preserve"> name</t>
    </r>
  </si>
  <si>
    <t>Delete all the Race results (Helmet Colours)</t>
  </si>
  <si>
    <t>and Ballot results</t>
  </si>
  <si>
    <r>
      <t xml:space="preserve">Enter any new riders' names in the </t>
    </r>
    <r>
      <rPr>
        <b/>
        <sz val="10"/>
        <rFont val="Arial"/>
        <family val="2"/>
      </rPr>
      <t>Riders</t>
    </r>
    <r>
      <rPr>
        <sz val="10"/>
        <rFont val="Arial"/>
        <family val="2"/>
      </rPr>
      <t xml:space="preserve"> sheet</t>
    </r>
  </si>
  <si>
    <t>(Wild Card &amp; Track Reserves)</t>
  </si>
  <si>
    <t>(As in Instruction 2, above)</t>
  </si>
  <si>
    <r>
      <t>SAVE</t>
    </r>
    <r>
      <rPr>
        <sz val="10"/>
        <rFont val="Arial"/>
        <family val="2"/>
      </rPr>
      <t xml:space="preserve"> the file.</t>
    </r>
  </si>
  <si>
    <t>FEDERATION INTERNATIONALE DE MOTOCYCLISME</t>
  </si>
  <si>
    <t>Amendments</t>
  </si>
  <si>
    <r>
      <t xml:space="preserve">If </t>
    </r>
    <r>
      <rPr>
        <b/>
        <sz val="10"/>
        <rFont val="Arial"/>
        <family val="2"/>
      </rPr>
      <t>MORE THAN ONE</t>
    </r>
    <r>
      <rPr>
        <sz val="10"/>
        <rFont val="Arial"/>
        <family val="2"/>
      </rPr>
      <t xml:space="preserve"> rider fails to finish a race, </t>
    </r>
    <r>
      <rPr>
        <b/>
        <sz val="10"/>
        <rFont val="Arial"/>
        <family val="2"/>
      </rPr>
      <t>DO NOT</t>
    </r>
    <r>
      <rPr>
        <sz val="10"/>
        <rFont val="Arial"/>
        <family val="2"/>
      </rPr>
      <t xml:space="preserve"> type in their Helmet colours</t>
    </r>
  </si>
  <si>
    <r>
      <t xml:space="preserve">Reason for </t>
    </r>
    <r>
      <rPr>
        <b/>
        <u/>
        <sz val="10"/>
        <rFont val="Arial"/>
        <family val="2"/>
      </rPr>
      <t>exclusions</t>
    </r>
    <r>
      <rPr>
        <sz val="10"/>
        <rFont val="Arial"/>
        <family val="2"/>
      </rPr>
      <t xml:space="preserve"> or </t>
    </r>
    <r>
      <rPr>
        <b/>
        <u/>
        <sz val="10"/>
        <rFont val="Arial"/>
        <family val="2"/>
      </rPr>
      <t>non-finishing</t>
    </r>
    <r>
      <rPr>
        <sz val="10"/>
        <rFont val="Arial"/>
        <family val="2"/>
      </rPr>
      <t xml:space="preserve"> </t>
    </r>
    <r>
      <rPr>
        <b/>
        <sz val="10"/>
        <color indexed="10"/>
        <rFont val="Arial"/>
        <family val="2"/>
      </rPr>
      <t>MUST</t>
    </r>
    <r>
      <rPr>
        <sz val="10"/>
        <rFont val="Arial"/>
        <family val="2"/>
      </rPr>
      <t xml:space="preserve"> be entered in this column. (For tie-break calculations)</t>
    </r>
  </si>
  <si>
    <r>
      <t xml:space="preserve">password for this sheet is </t>
    </r>
    <r>
      <rPr>
        <sz val="10"/>
        <color indexed="10"/>
        <rFont val="Arial"/>
        <family val="2"/>
      </rPr>
      <t>kandysoft</t>
    </r>
  </si>
  <si>
    <t>Country</t>
  </si>
  <si>
    <t>11 Route Suisse – 1295 Mies / Switzerland</t>
  </si>
  <si>
    <r>
      <t xml:space="preserve">Remember to re-set the Print Area to accommodate </t>
    </r>
    <r>
      <rPr>
        <b/>
        <u/>
        <sz val="8"/>
        <color indexed="10"/>
        <rFont val="Arial"/>
        <family val="2"/>
      </rPr>
      <t>ALL</t>
    </r>
    <r>
      <rPr>
        <b/>
        <sz val="8"/>
        <color indexed="10"/>
        <rFont val="Arial"/>
        <family val="2"/>
      </rPr>
      <t xml:space="preserve"> riders who have competed.</t>
    </r>
  </si>
  <si>
    <r>
      <t>password for this sheet is</t>
    </r>
    <r>
      <rPr>
        <b/>
        <sz val="10"/>
        <rFont val="Arial"/>
        <family val="2"/>
      </rPr>
      <t xml:space="preserve"> </t>
    </r>
    <r>
      <rPr>
        <b/>
        <sz val="12"/>
        <color indexed="10"/>
        <rFont val="Arial"/>
        <family val="2"/>
      </rPr>
      <t>kandysoft</t>
    </r>
  </si>
  <si>
    <t>Remember to un-Hide Rows to accommodate all riders</t>
  </si>
  <si>
    <r>
      <t xml:space="preserve">password for this sheet is </t>
    </r>
    <r>
      <rPr>
        <sz val="8"/>
        <color indexed="10"/>
        <rFont val="Arial"/>
        <family val="2"/>
      </rPr>
      <t>kandysoft</t>
    </r>
  </si>
  <si>
    <r>
      <t xml:space="preserve">To </t>
    </r>
    <r>
      <rPr>
        <b/>
        <sz val="10"/>
        <rFont val="Arial"/>
        <family val="2"/>
      </rPr>
      <t>SAVE</t>
    </r>
    <r>
      <rPr>
        <sz val="10"/>
        <rFont val="Arial"/>
        <family val="2"/>
      </rPr>
      <t xml:space="preserve"> the Results from the latest GP:</t>
    </r>
  </si>
  <si>
    <r>
      <t xml:space="preserve">Un-Protect this sheet </t>
    </r>
    <r>
      <rPr>
        <sz val="10"/>
        <color indexed="10"/>
        <rFont val="Arial"/>
        <family val="2"/>
      </rPr>
      <t>(Password:- kandysoft)</t>
    </r>
  </si>
  <si>
    <r>
      <t xml:space="preserve">Highlight the riders' Names </t>
    </r>
    <r>
      <rPr>
        <b/>
        <u/>
        <sz val="10"/>
        <rFont val="Arial"/>
        <family val="2"/>
      </rPr>
      <t>and</t>
    </r>
    <r>
      <rPr>
        <sz val="10"/>
        <rFont val="Arial"/>
        <family val="2"/>
      </rPr>
      <t xml:space="preserve"> Scores</t>
    </r>
  </si>
  <si>
    <r>
      <t>Copy - Edit - Paste Special - Values</t>
    </r>
    <r>
      <rPr>
        <sz val="10"/>
        <rFont val="Arial"/>
        <family val="2"/>
      </rPr>
      <t xml:space="preserve"> </t>
    </r>
  </si>
  <si>
    <t>Protect the sheet</t>
  </si>
  <si>
    <r>
      <t xml:space="preserve">See Set Up sheet Instruction </t>
    </r>
    <r>
      <rPr>
        <b/>
        <sz val="10"/>
        <rFont val="Arial"/>
        <family val="2"/>
      </rPr>
      <t>8</t>
    </r>
    <r>
      <rPr>
        <sz val="10"/>
        <rFont val="Arial"/>
        <family val="2"/>
      </rPr>
      <t xml:space="preserve"> for an example</t>
    </r>
  </si>
  <si>
    <t>SF</t>
  </si>
  <si>
    <t>Rank EX</t>
  </si>
  <si>
    <t>Final Sort</t>
  </si>
  <si>
    <t>In Final?</t>
  </si>
  <si>
    <t>N/S in Final</t>
  </si>
  <si>
    <t>Score + Semi</t>
  </si>
  <si>
    <t>Final Abandon</t>
  </si>
  <si>
    <t>Sorting Total</t>
  </si>
  <si>
    <t>Abandoned after ht 16</t>
  </si>
  <si>
    <t>Result</t>
  </si>
  <si>
    <t>Abandonned after Ht 16</t>
  </si>
  <si>
    <t>Abandoned Prior Final</t>
  </si>
  <si>
    <t>Abandoned prior to Final</t>
  </si>
  <si>
    <t>Heats completed</t>
  </si>
  <si>
    <t>Points as accrued up to Heat 22.</t>
  </si>
  <si>
    <t>Delete the Gate Ballot Result for Heat 23 (If entered)</t>
  </si>
  <si>
    <r>
      <t xml:space="preserve">If the meeting is abandoned </t>
    </r>
    <r>
      <rPr>
        <b/>
        <sz val="10"/>
        <rFont val="Arial"/>
        <family val="2"/>
      </rPr>
      <t>after the 2nd Semi-Final</t>
    </r>
  </si>
  <si>
    <r>
      <t xml:space="preserve">Rule:- </t>
    </r>
    <r>
      <rPr>
        <b/>
        <sz val="10"/>
        <rFont val="Arial"/>
        <family val="2"/>
      </rPr>
      <t>077.9.1</t>
    </r>
  </si>
  <si>
    <t>If two or more riders cannot take part in the Big Final
(heat 23) for which they had already qualified, they will automatically considered placed in the last position of the Big Final (0 points)</t>
  </si>
  <si>
    <t>NOTE:-</t>
  </si>
  <si>
    <t>11 Route Suisse – 1295 Mies  /  Switzerland</t>
  </si>
  <si>
    <t>NS</t>
  </si>
  <si>
    <t>GP No</t>
  </si>
  <si>
    <t>Series</t>
  </si>
  <si>
    <r>
      <t>2</t>
    </r>
    <r>
      <rPr>
        <sz val="10"/>
        <rFont val="Arial"/>
        <family val="2"/>
      </rPr>
      <t>nd</t>
    </r>
  </si>
  <si>
    <r>
      <t>3</t>
    </r>
    <r>
      <rPr>
        <sz val="10"/>
        <rFont val="Arial"/>
        <family val="2"/>
      </rPr>
      <t>rd</t>
    </r>
  </si>
  <si>
    <r>
      <t>4</t>
    </r>
    <r>
      <rPr>
        <sz val="10"/>
        <rFont val="Arial"/>
        <family val="2"/>
      </rPr>
      <t>th</t>
    </r>
  </si>
  <si>
    <r>
      <t>5</t>
    </r>
    <r>
      <rPr>
        <sz val="10"/>
        <rFont val="Arial"/>
        <family val="2"/>
      </rPr>
      <t>th</t>
    </r>
  </si>
  <si>
    <r>
      <t>6</t>
    </r>
    <r>
      <rPr>
        <sz val="10"/>
        <rFont val="Arial"/>
        <family val="2"/>
      </rPr>
      <t>th</t>
    </r>
  </si>
  <si>
    <r>
      <t>7</t>
    </r>
    <r>
      <rPr>
        <sz val="10"/>
        <rFont val="Arial"/>
        <family val="2"/>
      </rPr>
      <t>th</t>
    </r>
  </si>
  <si>
    <r>
      <t>8</t>
    </r>
    <r>
      <rPr>
        <sz val="10"/>
        <rFont val="Arial"/>
        <family val="2"/>
      </rPr>
      <t>th</t>
    </r>
  </si>
  <si>
    <r>
      <t>9</t>
    </r>
    <r>
      <rPr>
        <sz val="10"/>
        <rFont val="Arial"/>
        <family val="2"/>
      </rPr>
      <t>th</t>
    </r>
  </si>
  <si>
    <r>
      <t>10</t>
    </r>
    <r>
      <rPr>
        <sz val="10"/>
        <rFont val="Arial"/>
        <family val="2"/>
      </rPr>
      <t>th</t>
    </r>
  </si>
  <si>
    <r>
      <t>11</t>
    </r>
    <r>
      <rPr>
        <sz val="10"/>
        <rFont val="Arial"/>
        <family val="2"/>
      </rPr>
      <t>th</t>
    </r>
  </si>
  <si>
    <r>
      <t>12</t>
    </r>
    <r>
      <rPr>
        <sz val="10"/>
        <rFont val="Arial"/>
        <family val="2"/>
      </rPr>
      <t>th</t>
    </r>
  </si>
  <si>
    <r>
      <t>13</t>
    </r>
    <r>
      <rPr>
        <sz val="10"/>
        <rFont val="Arial"/>
        <family val="2"/>
      </rPr>
      <t>th</t>
    </r>
  </si>
  <si>
    <r>
      <t>14</t>
    </r>
    <r>
      <rPr>
        <sz val="10"/>
        <rFont val="Arial"/>
        <family val="2"/>
      </rPr>
      <t>th</t>
    </r>
  </si>
  <si>
    <r>
      <t>15</t>
    </r>
    <r>
      <rPr>
        <sz val="10"/>
        <rFont val="Arial"/>
        <family val="2"/>
      </rPr>
      <t>th</t>
    </r>
  </si>
  <si>
    <r>
      <t>16</t>
    </r>
    <r>
      <rPr>
        <sz val="10"/>
        <rFont val="Arial"/>
        <family val="2"/>
      </rPr>
      <t>th</t>
    </r>
  </si>
  <si>
    <r>
      <t>17</t>
    </r>
    <r>
      <rPr>
        <sz val="10"/>
        <rFont val="Arial"/>
        <family val="2"/>
      </rPr>
      <t>th</t>
    </r>
  </si>
  <si>
    <r>
      <t>18</t>
    </r>
    <r>
      <rPr>
        <sz val="10"/>
        <rFont val="Arial"/>
        <family val="2"/>
      </rPr>
      <t>th</t>
    </r>
  </si>
  <si>
    <r>
      <t>1</t>
    </r>
    <r>
      <rPr>
        <b/>
        <sz val="10"/>
        <rFont val="Arial"/>
        <family val="2"/>
      </rPr>
      <t>st</t>
    </r>
  </si>
  <si>
    <r>
      <t xml:space="preserve">FIM Jury President </t>
    </r>
    <r>
      <rPr>
        <b/>
        <sz val="12"/>
        <rFont val="Arial"/>
        <family val="2"/>
      </rPr>
      <t>:-</t>
    </r>
  </si>
  <si>
    <t>FIM Referee :-</t>
  </si>
  <si>
    <t>NEW</t>
  </si>
  <si>
    <t>Abandoned Prior 2nd S/Final</t>
  </si>
  <si>
    <t>Abandoned prior to 2nd S/ Final</t>
  </si>
  <si>
    <t>4th</t>
  </si>
  <si>
    <t>3dp</t>
  </si>
  <si>
    <t>4dp</t>
  </si>
  <si>
    <t>5dp</t>
  </si>
  <si>
    <t>S/F Who Beat Who</t>
  </si>
  <si>
    <t>x</t>
  </si>
  <si>
    <t>6x0</t>
  </si>
  <si>
    <t>Semi Final Tie Break</t>
  </si>
  <si>
    <t>QR</t>
  </si>
  <si>
    <t>In Semi?</t>
  </si>
  <si>
    <t>Score</t>
  </si>
  <si>
    <t>QR Total</t>
  </si>
  <si>
    <t>GF?</t>
  </si>
  <si>
    <t>Inc TB</t>
  </si>
  <si>
    <t>GF Score</t>
  </si>
  <si>
    <t>QR TB's</t>
  </si>
  <si>
    <t>Semi Final</t>
  </si>
  <si>
    <t>Match</t>
  </si>
  <si>
    <t>S/F W-b-w?</t>
  </si>
  <si>
    <t>Added include TB Column EY27 E44</t>
  </si>
  <si>
    <t>No GP</t>
  </si>
  <si>
    <t>Non-Starting Substitutes</t>
  </si>
  <si>
    <t>Abandoned after ht 12</t>
  </si>
  <si>
    <t>EY3</t>
  </si>
  <si>
    <t>Abandoned after heat 12</t>
  </si>
  <si>
    <t>21st Sptember</t>
  </si>
  <si>
    <t>5th October</t>
  </si>
  <si>
    <t>No</t>
  </si>
  <si>
    <t>Jury President</t>
  </si>
  <si>
    <t>W</t>
  </si>
  <si>
    <t>Y</t>
  </si>
  <si>
    <t>G</t>
  </si>
  <si>
    <t>%Wins</t>
  </si>
  <si>
    <r>
      <t>Always enter</t>
    </r>
    <r>
      <rPr>
        <b/>
        <u/>
        <sz val="10"/>
        <rFont val="Arial"/>
        <family val="2"/>
      </rPr>
      <t xml:space="preserve"> all 4 colours</t>
    </r>
    <r>
      <rPr>
        <b/>
        <sz val="10"/>
        <rFont val="Arial"/>
        <family val="2"/>
      </rPr>
      <t xml:space="preserve"> in the Final
(Any </t>
    </r>
    <r>
      <rPr>
        <b/>
        <sz val="10"/>
        <color rgb="FFFF0000"/>
        <rFont val="Arial"/>
        <family val="2"/>
      </rPr>
      <t>Ex</t>
    </r>
    <r>
      <rPr>
        <b/>
        <sz val="10"/>
        <rFont val="Arial"/>
        <family val="2"/>
      </rPr>
      <t xml:space="preserve"> column entries will zero the points value)</t>
    </r>
  </si>
  <si>
    <t>SML</t>
  </si>
  <si>
    <t>Title</t>
  </si>
  <si>
    <t>Round No.</t>
  </si>
  <si>
    <t>DMSB</t>
  </si>
  <si>
    <t>GER</t>
  </si>
  <si>
    <t>FIN</t>
  </si>
  <si>
    <t>Refereee</t>
  </si>
  <si>
    <t>Event Details</t>
  </si>
  <si>
    <t>Enter Meeting Details above.
They will transfer to the relevant sheets</t>
  </si>
  <si>
    <t>Enter Rider Names in Draw Order</t>
  </si>
  <si>
    <r>
      <t>Additional rider details</t>
    </r>
    <r>
      <rPr>
        <b/>
        <u/>
        <sz val="10"/>
        <color indexed="8"/>
        <rFont val="Arial"/>
        <family val="2"/>
      </rPr>
      <t xml:space="preserve"> MUST</t>
    </r>
    <r>
      <rPr>
        <sz val="10"/>
        <color indexed="8"/>
        <rFont val="Arial"/>
        <family val="2"/>
      </rPr>
      <t xml:space="preserve"> be entered in Columns B, C, D &amp; E</t>
    </r>
  </si>
  <si>
    <t>Wild Card / TR 13</t>
  </si>
  <si>
    <t>Wild Card / TR 14</t>
  </si>
  <si>
    <t>Wild Card / TR 15</t>
  </si>
  <si>
    <t>Wild Card / TR 16</t>
  </si>
  <si>
    <t>Wild Card / TR 17</t>
  </si>
  <si>
    <t>Wild Card / TR 18</t>
  </si>
  <si>
    <t>Day 1 Meeting Draw</t>
  </si>
  <si>
    <t>Day 2 Meeting Draw</t>
  </si>
  <si>
    <t>Day 2 Amendments</t>
  </si>
  <si>
    <t>Day 1</t>
  </si>
  <si>
    <t>Day 2</t>
  </si>
  <si>
    <t>Round 6</t>
  </si>
  <si>
    <t>Day 1 Date</t>
  </si>
  <si>
    <t>Day 2 Date</t>
  </si>
  <si>
    <t>Wild Card / TR 19</t>
  </si>
  <si>
    <t>nf</t>
  </si>
  <si>
    <t>Rider N°</t>
  </si>
  <si>
    <t>Franz Zorn</t>
  </si>
  <si>
    <t>Stefan Svensson</t>
  </si>
  <si>
    <t>Stefan Pletschacher</t>
  </si>
  <si>
    <t>Jan Klatovsky</t>
  </si>
  <si>
    <t>Krasnogorsk 1</t>
  </si>
  <si>
    <t>Krasnogorsk 2</t>
  </si>
  <si>
    <t>Assen 1</t>
  </si>
  <si>
    <t>Assen 2</t>
  </si>
  <si>
    <t>Inzell 1</t>
  </si>
  <si>
    <t>Inzell 2</t>
  </si>
  <si>
    <t>Round 6 1</t>
  </si>
  <si>
    <t>Round 6 2</t>
  </si>
  <si>
    <t>INSTRUCTIONS FOR SETTING UP ISGP ©</t>
  </si>
  <si>
    <t>or liability for any errors arising from the use of this file.</t>
  </si>
  <si>
    <t>Distribution of copies of this file to third parties is a breach of Copyright!</t>
  </si>
  <si>
    <t>Please note that Dave Gambrill retains 'Intellectual Copyright' of the file.</t>
  </si>
  <si>
    <t xml:space="preserve">Licensed users are welcome to use all, or part of the contents of the file in any publication.  </t>
  </si>
  <si>
    <t>An acknowledgement, referring to KanDysoft, would be appreciated.</t>
  </si>
  <si>
    <t xml:space="preserve">This Spreadsheet is not to be used by any commercial organisation </t>
  </si>
  <si>
    <t>without the written permission of the Copyright© holder, Dave Gambrill</t>
  </si>
  <si>
    <t>For FREE help with KanDysoft files, or to submit your suggestions for future files, please contact:-</t>
  </si>
  <si>
    <t>dave@kandysoft.com</t>
  </si>
  <si>
    <t>Enter Rider name in Draw order in the Day 1 Meeting grid.</t>
  </si>
  <si>
    <t>The names will copy to the Day 2 Meeting grid.</t>
  </si>
  <si>
    <t xml:space="preserve">Subsequent amendments to the Day 2 riders can be inserted using the </t>
  </si>
  <si>
    <t>Day 2 Amendments Grid.</t>
  </si>
  <si>
    <t>Names and details will automatically transfer to each of the Meeting programmes</t>
  </si>
  <si>
    <t>(Day 1 &amp; Day 2) and all relevant Results sheets.</t>
  </si>
  <si>
    <r>
      <t xml:space="preserve">Edit the riders' names in the </t>
    </r>
    <r>
      <rPr>
        <b/>
        <sz val="10"/>
        <rFont val="Arial"/>
        <family val="2"/>
      </rPr>
      <t>DRAW</t>
    </r>
    <r>
      <rPr>
        <sz val="10"/>
        <rFont val="Arial"/>
        <family val="2"/>
      </rPr>
      <t xml:space="preserve"> sheet scorechart as per the new draw.</t>
    </r>
  </si>
  <si>
    <t>(As in Instruction 1, above)</t>
  </si>
  <si>
    <t>Krasnogorsk</t>
  </si>
  <si>
    <t>Assen</t>
  </si>
  <si>
    <t>Inzell</t>
  </si>
  <si>
    <t>MFR</t>
  </si>
  <si>
    <t>RUS</t>
  </si>
  <si>
    <t>Max Niedermaier</t>
  </si>
  <si>
    <t xml:space="preserve">Ice Speedway Gladiators Programme (2014) ©     </t>
  </si>
  <si>
    <t xml:space="preserve"> © by Dave Gambrill (August 2014) All rights reserved.</t>
  </si>
  <si>
    <t>This file (ISGP_2014 © ) is COPYRIGHT DAVE GAMBRILL</t>
  </si>
  <si>
    <t>Use of this file, (ISGP_2014 © ) will be seen as an acceptance of the above conditions.</t>
  </si>
  <si>
    <r>
      <t>All meeting details, Rider Names and numbers etc. are entered in the '</t>
    </r>
    <r>
      <rPr>
        <b/>
        <sz val="10"/>
        <rFont val="Arial"/>
        <family val="2"/>
      </rPr>
      <t>DRAW</t>
    </r>
    <r>
      <rPr>
        <sz val="10"/>
        <rFont val="Arial"/>
        <family val="2"/>
      </rPr>
      <t>' sheet</t>
    </r>
  </si>
  <si>
    <r>
      <t xml:space="preserve">In The Grand Final </t>
    </r>
    <r>
      <rPr>
        <b/>
        <sz val="10"/>
        <rFont val="Arial"/>
        <family val="2"/>
      </rPr>
      <t>ALWAYS</t>
    </r>
    <r>
      <rPr>
        <sz val="10"/>
        <rFont val="Arial"/>
        <family val="2"/>
      </rPr>
      <t xml:space="preserve"> enter </t>
    </r>
    <r>
      <rPr>
        <b/>
        <sz val="10"/>
        <rFont val="Arial"/>
        <family val="2"/>
      </rPr>
      <t>ALL</t>
    </r>
    <r>
      <rPr>
        <sz val="10"/>
        <rFont val="Arial"/>
        <family val="2"/>
      </rPr>
      <t xml:space="preserve"> four Helmet colours in the Results column. If a rider is excluded or fails to finish, Put the Reason Code (R, Fx etc.) in the Grey column and he will get 0 points.</t>
    </r>
  </si>
  <si>
    <r>
      <t>e.g.: GP</t>
    </r>
    <r>
      <rPr>
        <b/>
        <sz val="10"/>
        <color indexed="10"/>
        <rFont val="Arial"/>
        <family val="2"/>
      </rPr>
      <t>1</t>
    </r>
    <r>
      <rPr>
        <sz val="10"/>
        <rFont val="Arial"/>
        <family val="2"/>
      </rPr>
      <t>_Wroclaw</t>
    </r>
  </si>
  <si>
    <r>
      <t>e.g.: GP</t>
    </r>
    <r>
      <rPr>
        <b/>
        <sz val="10"/>
        <color indexed="10"/>
        <rFont val="Arial"/>
        <family val="2"/>
      </rPr>
      <t>2</t>
    </r>
    <r>
      <rPr>
        <sz val="10"/>
        <rFont val="Arial"/>
        <family val="2"/>
      </rPr>
      <t>_Eskilstuna</t>
    </r>
  </si>
  <si>
    <r>
      <t xml:space="preserve">This File is Licenced exclusively to </t>
    </r>
    <r>
      <rPr>
        <b/>
        <u/>
        <sz val="10"/>
        <color indexed="10"/>
        <rFont val="Arial"/>
        <family val="2"/>
      </rPr>
      <t>*FIM Personnel ONLY*</t>
    </r>
  </si>
  <si>
    <t>Conditions for the use of Ice Speedway Gladiators ©  (ISGP_2014 ©)</t>
  </si>
  <si>
    <t xml:space="preserve">Whilst every effort has been made to ensure that these calculations are correct, </t>
  </si>
  <si>
    <t xml:space="preserve">the producers of this file accept no responsibility </t>
  </si>
  <si>
    <t>Igor Kononov</t>
  </si>
  <si>
    <t>CZR</t>
  </si>
  <si>
    <t>Harald Simon</t>
  </si>
  <si>
    <t>Vitaly Khomitsevich</t>
  </si>
  <si>
    <t>Daniil Ivanov</t>
  </si>
  <si>
    <t>Dimitry Koltakov</t>
  </si>
  <si>
    <t>OeAMTC</t>
  </si>
  <si>
    <t>When it is sent by E-mail, only the name of the Jury President and the Clerk of the Course are required.
These results must be sent to the journalists and to the FIM Administration right after the meeting,
as per the list of fax numbers and E-mails provided by the Jury President.</t>
  </si>
  <si>
    <t>Signature of the Clerk of the Course</t>
  </si>
  <si>
    <t>ACCR</t>
  </si>
  <si>
    <t>Clerk of the Course</t>
  </si>
  <si>
    <t>N</t>
  </si>
  <si>
    <t>Pl.</t>
  </si>
  <si>
    <t>Pl,</t>
  </si>
  <si>
    <t>F = Fell (not disqualified)</t>
  </si>
  <si>
    <r>
      <rPr>
        <b/>
        <sz val="12"/>
        <rFont val="Arial"/>
        <family val="2"/>
      </rPr>
      <t>Key</t>
    </r>
    <r>
      <rPr>
        <sz val="12"/>
        <rFont val="Arial"/>
        <family val="2"/>
      </rPr>
      <t xml:space="preserve">
</t>
    </r>
    <r>
      <rPr>
        <sz val="10"/>
        <rFont val="Arial"/>
        <family val="2"/>
      </rPr>
      <t>(Art: 070.11.2)</t>
    </r>
  </si>
  <si>
    <t>M = Disqualified - 2 minutes</t>
  </si>
  <si>
    <t>d = Disqualified</t>
  </si>
  <si>
    <t>R = Retired</t>
  </si>
  <si>
    <t>N = Non starter</t>
  </si>
  <si>
    <t>T = Disqualified - starting offence</t>
  </si>
  <si>
    <t>IMN No.</t>
  </si>
  <si>
    <t>Day 1 Draw List</t>
  </si>
  <si>
    <t>Day 2 Draw List</t>
  </si>
  <si>
    <t>Enter Rider No. In column L</t>
  </si>
  <si>
    <t>Details &amp; Points will transfer</t>
  </si>
  <si>
    <r>
      <t>If there are two Replaced/Excluded riders in a heat, type the 2nd Rider Name (&amp; Code) in column</t>
    </r>
    <r>
      <rPr>
        <b/>
        <sz val="12"/>
        <rFont val="Arial"/>
        <family val="2"/>
      </rPr>
      <t xml:space="preserve"> H</t>
    </r>
  </si>
  <si>
    <t>No Rider</t>
  </si>
  <si>
    <t>-</t>
  </si>
  <si>
    <t>Ballot tie</t>
  </si>
  <si>
    <t>F</t>
  </si>
  <si>
    <t>Reasons</t>
  </si>
  <si>
    <t>T</t>
  </si>
  <si>
    <t>M</t>
  </si>
  <si>
    <t>2 Minutes</t>
  </si>
  <si>
    <t>Retired</t>
  </si>
  <si>
    <t>d</t>
  </si>
  <si>
    <t>Not started</t>
  </si>
  <si>
    <t>Reserve</t>
  </si>
  <si>
    <t>disqualified</t>
  </si>
  <si>
    <t>Tape</t>
  </si>
  <si>
    <t>Fell</t>
  </si>
  <si>
    <t>31st January</t>
  </si>
  <si>
    <t>1st February</t>
  </si>
  <si>
    <t>7th February</t>
  </si>
  <si>
    <t>8th February</t>
  </si>
  <si>
    <t>14th February</t>
  </si>
  <si>
    <t>15th February</t>
  </si>
  <si>
    <t>7th March</t>
  </si>
  <si>
    <t>8th March</t>
  </si>
  <si>
    <t>14th March</t>
  </si>
  <si>
    <t>15th March</t>
  </si>
  <si>
    <t>Togliatti 1</t>
  </si>
  <si>
    <t>Togliatti 2</t>
  </si>
  <si>
    <t>Almaty 1</t>
  </si>
  <si>
    <t>Almaty 2</t>
  </si>
  <si>
    <t>MOTUL FIM Ice Speedway Gladiators World Championship. 2015</t>
  </si>
  <si>
    <t>Togliatti</t>
  </si>
  <si>
    <t>Almaty</t>
  </si>
  <si>
    <t>Ice Gladiators 2015</t>
  </si>
  <si>
    <t>Dimitry Khomitsevich</t>
  </si>
  <si>
    <t>Hans Weber</t>
  </si>
  <si>
    <t>Mats Jarf</t>
  </si>
  <si>
    <t>Antonin Klatovsky</t>
  </si>
  <si>
    <t>Daniel Henderson</t>
  </si>
  <si>
    <t>Niclas Kallin Svenson</t>
  </si>
  <si>
    <t>Jimmy Olsen</t>
  </si>
  <si>
    <t>Ove Ledstrom</t>
  </si>
  <si>
    <t>Wild Card / TR 12</t>
  </si>
  <si>
    <t>AUS</t>
  </si>
  <si>
    <t>2015 Series Riders</t>
  </si>
  <si>
    <t>Nikolay Krasnikov</t>
  </si>
  <si>
    <t>Gunter Bauer</t>
  </si>
  <si>
    <t>Per-Anders Lindstrom</t>
  </si>
  <si>
    <t>Sergey Makarov</t>
  </si>
  <si>
    <t>Aleksey Kolganov</t>
  </si>
  <si>
    <t>Nikita Toloknov</t>
  </si>
  <si>
    <t>Mikhail Litvinov</t>
  </si>
  <si>
    <t>Ivan Bolshakov</t>
  </si>
  <si>
    <t>Approved by the International Jury at:</t>
  </si>
  <si>
    <t>(20:05)</t>
  </si>
  <si>
    <t>Ivan Bolshakov (T)</t>
  </si>
  <si>
    <t>Vladimir Cheblokov</t>
  </si>
  <si>
    <t>Pavel Nekrassov</t>
  </si>
  <si>
    <t>Denis Slepukhin</t>
  </si>
  <si>
    <t>KAMF</t>
  </si>
  <si>
    <t>KAZ</t>
  </si>
  <si>
    <t>504/06</t>
  </si>
  <si>
    <t>Netherlands</t>
  </si>
  <si>
    <t>7th March 2015</t>
  </si>
  <si>
    <t>8th March 2015</t>
  </si>
  <si>
    <t>Mick Posselwhite: ACU</t>
  </si>
  <si>
    <t>Bert Eijbergen: KNMV</t>
  </si>
  <si>
    <t>Susanne Hüttinger: OeAMTC</t>
  </si>
  <si>
    <r>
      <t>Note: The Default Code for a Rider replaced by a Reserve ('</t>
    </r>
    <r>
      <rPr>
        <b/>
        <sz val="10"/>
        <color indexed="8"/>
        <rFont val="Arial"/>
        <family val="2"/>
      </rPr>
      <t>N</t>
    </r>
    <r>
      <rPr>
        <sz val="10"/>
        <color indexed="8"/>
        <rFont val="Arial"/>
        <family val="2"/>
      </rPr>
      <t>') is automatically entered in the Rider's Scorechart.
Should you require a differend code ('</t>
    </r>
    <r>
      <rPr>
        <b/>
        <sz val="10"/>
        <color indexed="8"/>
        <rFont val="Arial"/>
        <family val="2"/>
      </rPr>
      <t>T</t>
    </r>
    <r>
      <rPr>
        <sz val="10"/>
        <color indexed="8"/>
        <rFont val="Arial"/>
        <family val="2"/>
      </rPr>
      <t>', '</t>
    </r>
    <r>
      <rPr>
        <b/>
        <sz val="10"/>
        <color indexed="8"/>
        <rFont val="Arial"/>
        <family val="2"/>
      </rPr>
      <t>Fn</t>
    </r>
    <r>
      <rPr>
        <sz val="10"/>
        <color indexed="8"/>
        <rFont val="Arial"/>
        <family val="2"/>
      </rPr>
      <t>' etc.),
enter your preference in columns E, T or AI.</t>
    </r>
  </si>
  <si>
    <t>Rene Stellingwerf</t>
  </si>
  <si>
    <t>Simon Reitsma</t>
  </si>
  <si>
    <t>KMNV</t>
  </si>
  <si>
    <t>NET</t>
  </si>
  <si>
    <t>60,28</t>
  </si>
  <si>
    <t>60,78</t>
  </si>
  <si>
    <t>58,63</t>
  </si>
  <si>
    <t>61,66</t>
  </si>
  <si>
    <t>58,75</t>
  </si>
  <si>
    <t>58,84</t>
  </si>
  <si>
    <t>59,25</t>
  </si>
  <si>
    <t>58,81</t>
  </si>
  <si>
    <t>62,82</t>
  </si>
  <si>
    <t>59,13</t>
  </si>
  <si>
    <t>61,35</t>
  </si>
  <si>
    <t>63,19</t>
  </si>
  <si>
    <t>61,34</t>
  </si>
  <si>
    <t>62,38</t>
  </si>
  <si>
    <t>62,25</t>
  </si>
  <si>
    <t>60,85</t>
  </si>
  <si>
    <t>62,81</t>
  </si>
  <si>
    <t>62,56</t>
  </si>
  <si>
    <t>64,38</t>
  </si>
  <si>
    <t>65,00</t>
  </si>
  <si>
    <t>61,94</t>
  </si>
  <si>
    <t>62,06</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</si>
</sst>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164" formatCode="&quot;£&quot;#,##0.00;[Red]\-&quot;£&quot;#,##0.00"/>
    <numFmt numFmtId="165" formatCode="0.0"/>
    <numFmt numFmtId="166" formatCode="0.00000"/>
    <numFmt numFmtId="167" formatCode="0.000"/>
    <numFmt numFmtId="168" formatCode="0.0000"/>
    <numFmt numFmtId="169" formatCode="0.0000000"/>
    <numFmt numFmtId="170" formatCode="0.000000"/>
    <numFmt numFmtId="171" formatCode="d\ mmm"/>
    <numFmt numFmtId="172" formatCode="0;0;"/>
    <numFmt numFmtId="173" formatCode="0.00000000"/>
  </numFmts>
  <fonts count="62">
    <font>
      <sz val="10"/>
      <name val="MS Sans Serif"/>
    </font>
    <font>
      <sz val="11"/>
      <color theme="1"/>
      <name val="Calibri"/>
      <family val="2"/>
      <scheme val="minor"/>
    </font>
    <font>
      <sz val="10"/>
      <name val="MS Sans Serif"/>
      <family val="2"/>
    </font>
    <font>
      <sz val="10"/>
      <name val="Arial"/>
      <family val="2"/>
    </font>
    <font>
      <b/>
      <sz val="10"/>
      <name val="Arial"/>
      <family val="2"/>
    </font>
    <font>
      <b/>
      <sz val="10"/>
      <color indexed="10"/>
      <name val="Arial"/>
      <family val="2"/>
    </font>
    <font>
      <sz val="10"/>
      <color indexed="10"/>
      <name val="Arial"/>
      <family val="2"/>
    </font>
    <font>
      <i/>
      <sz val="10"/>
      <name val="Arial"/>
      <family val="2"/>
    </font>
    <font>
      <b/>
      <sz val="16"/>
      <name val="Arial"/>
      <family val="2"/>
    </font>
    <font>
      <sz val="8"/>
      <color indexed="10"/>
      <name val="Arial"/>
      <family val="2"/>
    </font>
    <font>
      <b/>
      <sz val="10"/>
      <color indexed="12"/>
      <name val="Arial"/>
      <family val="2"/>
    </font>
    <font>
      <b/>
      <u/>
      <sz val="18"/>
      <name val="Arial"/>
      <family val="2"/>
    </font>
    <font>
      <b/>
      <u/>
      <sz val="10"/>
      <name val="Arial"/>
      <family val="2"/>
    </font>
    <font>
      <u/>
      <sz val="10"/>
      <name val="Arial"/>
      <family val="2"/>
    </font>
    <font>
      <sz val="8"/>
      <name val="Arial"/>
      <family val="2"/>
    </font>
    <font>
      <b/>
      <sz val="8"/>
      <name val="Arial"/>
      <family val="2"/>
    </font>
    <font>
      <sz val="10"/>
      <color indexed="9"/>
      <name val="Arial"/>
      <family val="2"/>
    </font>
    <font>
      <sz val="10"/>
      <color indexed="8"/>
      <name val="Arial"/>
      <family val="2"/>
    </font>
    <font>
      <b/>
      <sz val="12"/>
      <color indexed="9"/>
      <name val="Arial"/>
      <family val="2"/>
    </font>
    <font>
      <sz val="10"/>
      <color indexed="13"/>
      <name val="Arial"/>
      <family val="2"/>
    </font>
    <font>
      <b/>
      <sz val="10"/>
      <color indexed="13"/>
      <name val="Arial"/>
      <family val="2"/>
    </font>
    <font>
      <b/>
      <sz val="11"/>
      <name val="Arial"/>
      <family val="2"/>
    </font>
    <font>
      <b/>
      <sz val="14"/>
      <color indexed="9"/>
      <name val="Arial"/>
      <family val="2"/>
    </font>
    <font>
      <b/>
      <u/>
      <sz val="12"/>
      <name val="Arial"/>
      <family val="2"/>
    </font>
    <font>
      <b/>
      <sz val="12"/>
      <name val="Arial"/>
      <family val="2"/>
    </font>
    <font>
      <b/>
      <sz val="18"/>
      <name val="Arial"/>
      <family val="2"/>
    </font>
    <font>
      <b/>
      <sz val="14"/>
      <name val="Arial"/>
      <family val="2"/>
    </font>
    <font>
      <sz val="12"/>
      <name val="Arial"/>
      <family val="2"/>
    </font>
    <font>
      <sz val="10"/>
      <color indexed="12"/>
      <name val="Arial"/>
      <family val="2"/>
    </font>
    <font>
      <b/>
      <sz val="22"/>
      <name val="Arial"/>
      <family val="2"/>
    </font>
    <font>
      <u/>
      <sz val="7.5"/>
      <color indexed="12"/>
      <name val="MS Sans Serif"/>
      <family val="2"/>
    </font>
    <font>
      <sz val="14"/>
      <name val="Arial"/>
      <family val="2"/>
    </font>
    <font>
      <sz val="8"/>
      <name val="MS Sans Serif"/>
      <family val="2"/>
    </font>
    <font>
      <b/>
      <sz val="14"/>
      <color indexed="8"/>
      <name val="Arial Narrow"/>
      <family val="2"/>
    </font>
    <font>
      <sz val="10"/>
      <color indexed="8"/>
      <name val="Arial"/>
      <family val="2"/>
    </font>
    <font>
      <b/>
      <sz val="10"/>
      <color indexed="8"/>
      <name val="Arial Narrow"/>
      <family val="2"/>
    </font>
    <font>
      <b/>
      <i/>
      <u/>
      <sz val="22"/>
      <color indexed="13"/>
      <name val="Arial"/>
      <family val="2"/>
    </font>
    <font>
      <sz val="9"/>
      <name val="Arial"/>
      <family val="2"/>
    </font>
    <font>
      <b/>
      <u/>
      <sz val="10"/>
      <color indexed="12"/>
      <name val="Arial"/>
      <family val="2"/>
    </font>
    <font>
      <b/>
      <sz val="8"/>
      <color indexed="10"/>
      <name val="Arial"/>
      <family val="2"/>
    </font>
    <font>
      <b/>
      <sz val="19"/>
      <name val="Arial"/>
      <family val="2"/>
    </font>
    <font>
      <b/>
      <u/>
      <sz val="8"/>
      <color indexed="10"/>
      <name val="Arial"/>
      <family val="2"/>
    </font>
    <font>
      <b/>
      <sz val="12"/>
      <color indexed="10"/>
      <name val="Arial"/>
      <family val="2"/>
    </font>
    <font>
      <sz val="10"/>
      <name val="Arial CE"/>
    </font>
    <font>
      <sz val="10"/>
      <name val="MS Sans Serif"/>
      <family val="2"/>
    </font>
    <font>
      <sz val="10"/>
      <name val="Arial"/>
      <family val="2"/>
    </font>
    <font>
      <b/>
      <sz val="10"/>
      <name val="MS Sans Serif"/>
      <family val="2"/>
    </font>
    <font>
      <sz val="8"/>
      <name val="MS Sans Serif"/>
      <family val="2"/>
    </font>
    <font>
      <sz val="11"/>
      <color theme="1"/>
      <name val="Calibri"/>
      <family val="2"/>
      <scheme val="minor"/>
    </font>
    <font>
      <sz val="10"/>
      <color rgb="FFFF0000"/>
      <name val="Arial"/>
      <family val="2"/>
    </font>
    <font>
      <b/>
      <sz val="14"/>
      <color rgb="FFFF0000"/>
      <name val="Arial"/>
      <family val="2"/>
    </font>
    <font>
      <b/>
      <sz val="16"/>
      <name val="MS Sans Serif"/>
      <family val="2"/>
    </font>
    <font>
      <b/>
      <sz val="10"/>
      <color indexed="8"/>
      <name val="Arial"/>
      <family val="2"/>
    </font>
    <font>
      <b/>
      <sz val="12"/>
      <color rgb="FFFFFFFF"/>
      <name val="Arial"/>
      <family val="2"/>
    </font>
    <font>
      <b/>
      <sz val="10"/>
      <color rgb="FFFF0000"/>
      <name val="Arial"/>
      <family val="2"/>
    </font>
    <font>
      <b/>
      <u/>
      <sz val="10"/>
      <color indexed="8"/>
      <name val="Arial"/>
      <family val="2"/>
    </font>
    <font>
      <sz val="8"/>
      <color rgb="FF0000FF"/>
      <name val="Arial"/>
      <family val="2"/>
    </font>
    <font>
      <b/>
      <u/>
      <sz val="10"/>
      <color indexed="10"/>
      <name val="Arial"/>
      <family val="2"/>
    </font>
    <font>
      <b/>
      <u val="double"/>
      <sz val="10"/>
      <color indexed="10"/>
      <name val="Arial"/>
      <family val="2"/>
    </font>
    <font>
      <sz val="11"/>
      <name val="Arial"/>
      <family val="2"/>
    </font>
    <font>
      <sz val="11"/>
      <name val="MS Sans Serif"/>
      <family val="2"/>
    </font>
    <font>
      <b/>
      <sz val="10"/>
      <color rgb="FF0000FF"/>
      <name val="Arial"/>
      <family val="2"/>
    </font>
  </fonts>
  <fills count="26">
    <fill>
      <patternFill patternType="none"/>
    </fill>
    <fill>
      <patternFill patternType="gray125"/>
    </fill>
    <fill>
      <patternFill patternType="solid">
        <fgColor indexed="43"/>
        <bgColor indexed="64"/>
      </patternFill>
    </fill>
    <fill>
      <patternFill patternType="solid">
        <fgColor indexed="10"/>
        <bgColor indexed="64"/>
      </patternFill>
    </fill>
    <fill>
      <patternFill patternType="solid">
        <fgColor indexed="9"/>
        <bgColor indexed="64"/>
      </patternFill>
    </fill>
    <fill>
      <patternFill patternType="solid">
        <fgColor indexed="13"/>
        <bgColor indexed="64"/>
      </patternFill>
    </fill>
    <fill>
      <patternFill patternType="solid">
        <fgColor indexed="12"/>
        <bgColor indexed="64"/>
      </patternFill>
    </fill>
    <fill>
      <patternFill patternType="solid">
        <fgColor indexed="22"/>
        <bgColor indexed="64"/>
      </patternFill>
    </fill>
    <fill>
      <patternFill patternType="solid">
        <fgColor indexed="42"/>
        <bgColor indexed="64"/>
      </patternFill>
    </fill>
    <fill>
      <patternFill patternType="solid">
        <fgColor indexed="47"/>
        <bgColor indexed="64"/>
      </patternFill>
    </fill>
    <fill>
      <patternFill patternType="solid">
        <fgColor indexed="49"/>
        <bgColor indexed="64"/>
      </patternFill>
    </fill>
    <fill>
      <patternFill patternType="solid">
        <fgColor indexed="44"/>
        <bgColor indexed="64"/>
      </patternFill>
    </fill>
    <fill>
      <patternFill patternType="solid">
        <fgColor rgb="FFFFFF00"/>
        <bgColor indexed="64"/>
      </patternFill>
    </fill>
    <fill>
      <patternFill patternType="solid">
        <fgColor rgb="FF66FF66"/>
        <bgColor indexed="64"/>
      </patternFill>
    </fill>
    <fill>
      <patternFill patternType="solid">
        <fgColor rgb="FFFFFFFF"/>
        <bgColor indexed="64"/>
      </patternFill>
    </fill>
    <fill>
      <patternFill patternType="solid">
        <fgColor rgb="FFFF0000"/>
        <bgColor indexed="64"/>
      </patternFill>
    </fill>
    <fill>
      <patternFill patternType="solid">
        <fgColor rgb="FF0000FF"/>
        <bgColor indexed="64"/>
      </patternFill>
    </fill>
    <fill>
      <patternFill patternType="solid">
        <fgColor rgb="FFFFFF66"/>
        <bgColor indexed="64"/>
      </patternFill>
    </fill>
    <fill>
      <patternFill patternType="solid">
        <fgColor rgb="FF99FF99"/>
        <bgColor indexed="64"/>
      </patternFill>
    </fill>
    <fill>
      <patternFill patternType="solid">
        <fgColor rgb="FFFFFF99"/>
        <bgColor indexed="64"/>
      </patternFill>
    </fill>
    <fill>
      <patternFill patternType="solid">
        <fgColor indexed="43"/>
        <bgColor indexed="26"/>
      </patternFill>
    </fill>
    <fill>
      <patternFill patternType="solid">
        <fgColor indexed="31"/>
        <bgColor indexed="26"/>
      </patternFill>
    </fill>
    <fill>
      <patternFill patternType="solid">
        <fgColor indexed="26"/>
        <bgColor indexed="9"/>
      </patternFill>
    </fill>
    <fill>
      <patternFill patternType="solid">
        <fgColor rgb="FFC0C0C0"/>
        <bgColor indexed="9"/>
      </patternFill>
    </fill>
    <fill>
      <patternFill patternType="solid">
        <fgColor indexed="13"/>
        <bgColor indexed="34"/>
      </patternFill>
    </fill>
    <fill>
      <patternFill patternType="solid">
        <fgColor rgb="FFDDDDDD"/>
        <bgColor indexed="64"/>
      </patternFill>
    </fill>
  </fills>
  <borders count="227">
    <border>
      <left/>
      <right/>
      <top/>
      <bottom/>
      <diagonal/>
    </border>
    <border>
      <left style="thin">
        <color indexed="64"/>
      </left>
      <right style="hair">
        <color indexed="64"/>
      </right>
      <top/>
      <bottom/>
      <diagonal/>
    </border>
    <border>
      <left style="hair">
        <color indexed="64"/>
      </left>
      <right style="hair">
        <color indexed="64"/>
      </right>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medium">
        <color indexed="64"/>
      </top>
      <bottom style="medium">
        <color indexed="64"/>
      </bottom>
      <diagonal/>
    </border>
    <border>
      <left style="thin">
        <color indexed="64"/>
      </left>
      <right style="hair">
        <color indexed="64"/>
      </right>
      <top style="medium">
        <color indexed="64"/>
      </top>
      <bottom style="medium">
        <color indexed="64"/>
      </bottom>
      <diagonal/>
    </border>
    <border>
      <left style="hair">
        <color indexed="64"/>
      </left>
      <right style="hair">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hair">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top style="thin">
        <color indexed="64"/>
      </top>
      <bottom style="hair">
        <color indexed="64"/>
      </bottom>
      <diagonal/>
    </border>
    <border>
      <left style="thin">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bottom style="hair">
        <color indexed="64"/>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style="medium">
        <color indexed="64"/>
      </left>
      <right/>
      <top/>
      <bottom style="hair">
        <color indexed="64"/>
      </bottom>
      <diagonal/>
    </border>
    <border>
      <left/>
      <right/>
      <top/>
      <bottom style="hair">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style="medium">
        <color indexed="64"/>
      </left>
      <right style="medium">
        <color indexed="64"/>
      </right>
      <top style="hair">
        <color indexed="64"/>
      </top>
      <bottom style="medium">
        <color indexed="64"/>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right style="medium">
        <color indexed="64"/>
      </right>
      <top/>
      <bottom/>
      <diagonal/>
    </border>
    <border>
      <left/>
      <right style="medium">
        <color indexed="64"/>
      </right>
      <top style="hair">
        <color indexed="64"/>
      </top>
      <bottom style="hair">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diagonal/>
    </border>
    <border>
      <left/>
      <right style="medium">
        <color indexed="64"/>
      </right>
      <top style="medium">
        <color indexed="64"/>
      </top>
      <bottom style="hair">
        <color indexed="64"/>
      </bottom>
      <diagonal/>
    </border>
    <border>
      <left/>
      <right style="medium">
        <color indexed="64"/>
      </right>
      <top style="hair">
        <color indexed="64"/>
      </top>
      <bottom style="medium">
        <color indexed="64"/>
      </bottom>
      <diagonal/>
    </border>
    <border>
      <left/>
      <right/>
      <top style="thin">
        <color indexed="64"/>
      </top>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medium">
        <color indexed="64"/>
      </bottom>
      <diagonal/>
    </border>
    <border>
      <left/>
      <right style="medium">
        <color indexed="64"/>
      </right>
      <top/>
      <bottom style="hair">
        <color indexed="64"/>
      </bottom>
      <diagonal/>
    </border>
    <border>
      <left/>
      <right style="medium">
        <color indexed="64"/>
      </right>
      <top/>
      <bottom style="medium">
        <color indexed="64"/>
      </bottom>
      <diagonal/>
    </border>
    <border>
      <left style="thin">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thin">
        <color indexed="64"/>
      </left>
      <right style="hair">
        <color indexed="64"/>
      </right>
      <top/>
      <bottom style="medium">
        <color indexed="64"/>
      </bottom>
      <diagonal/>
    </border>
    <border>
      <left style="hair">
        <color indexed="64"/>
      </left>
      <right style="thin">
        <color indexed="64"/>
      </right>
      <top/>
      <bottom style="medium">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thin">
        <color indexed="64"/>
      </right>
      <top/>
      <bottom style="hair">
        <color indexed="64"/>
      </bottom>
      <diagonal/>
    </border>
    <border>
      <left style="thin">
        <color indexed="64"/>
      </left>
      <right style="thin">
        <color indexed="64"/>
      </right>
      <top style="hair">
        <color indexed="64"/>
      </top>
      <bottom/>
      <diagonal/>
    </border>
    <border>
      <left style="medium">
        <color indexed="64"/>
      </left>
      <right/>
      <top style="hair">
        <color indexed="64"/>
      </top>
      <bottom style="thick">
        <color indexed="10"/>
      </bottom>
      <diagonal/>
    </border>
    <border>
      <left/>
      <right/>
      <top style="hair">
        <color indexed="64"/>
      </top>
      <bottom style="thick">
        <color indexed="10"/>
      </bottom>
      <diagonal/>
    </border>
    <border>
      <left style="thin">
        <color indexed="64"/>
      </left>
      <right style="thin">
        <color indexed="64"/>
      </right>
      <top style="hair">
        <color indexed="64"/>
      </top>
      <bottom style="thick">
        <color indexed="10"/>
      </bottom>
      <diagonal/>
    </border>
    <border>
      <left/>
      <right style="thin">
        <color indexed="64"/>
      </right>
      <top style="hair">
        <color indexed="64"/>
      </top>
      <bottom style="thick">
        <color indexed="10"/>
      </bottom>
      <diagonal/>
    </border>
    <border>
      <left style="thin">
        <color indexed="64"/>
      </left>
      <right style="hair">
        <color indexed="64"/>
      </right>
      <top style="hair">
        <color indexed="64"/>
      </top>
      <bottom style="thick">
        <color indexed="10"/>
      </bottom>
      <diagonal/>
    </border>
    <border>
      <left style="hair">
        <color indexed="64"/>
      </left>
      <right style="hair">
        <color indexed="64"/>
      </right>
      <top style="hair">
        <color indexed="64"/>
      </top>
      <bottom style="thick">
        <color indexed="10"/>
      </bottom>
      <diagonal/>
    </border>
    <border>
      <left style="hair">
        <color indexed="64"/>
      </left>
      <right style="thin">
        <color indexed="64"/>
      </right>
      <top style="hair">
        <color indexed="64"/>
      </top>
      <bottom style="thick">
        <color indexed="10"/>
      </bottom>
      <diagonal/>
    </border>
    <border>
      <left/>
      <right style="medium">
        <color indexed="64"/>
      </right>
      <top style="hair">
        <color indexed="64"/>
      </top>
      <bottom style="thick">
        <color indexed="10"/>
      </bottom>
      <diagonal/>
    </border>
    <border>
      <left style="medium">
        <color indexed="64"/>
      </left>
      <right style="medium">
        <color indexed="64"/>
      </right>
      <top style="hair">
        <color indexed="64"/>
      </top>
      <bottom style="thick">
        <color indexed="10"/>
      </bottom>
      <diagonal/>
    </border>
    <border>
      <left style="thin">
        <color indexed="64"/>
      </left>
      <right/>
      <top style="medium">
        <color indexed="64"/>
      </top>
      <bottom style="hair">
        <color indexed="64"/>
      </bottom>
      <diagonal/>
    </border>
    <border>
      <left style="thin">
        <color indexed="64"/>
      </left>
      <right/>
      <top style="hair">
        <color indexed="64"/>
      </top>
      <bottom style="thick">
        <color indexed="10"/>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style="medium">
        <color indexed="64"/>
      </left>
      <right style="hair">
        <color indexed="64"/>
      </right>
      <top style="medium">
        <color indexed="64"/>
      </top>
      <bottom/>
      <diagonal/>
    </border>
    <border>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hair">
        <color indexed="64"/>
      </right>
      <top style="hair">
        <color indexed="64"/>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hair">
        <color indexed="64"/>
      </top>
      <bottom style="medium">
        <color indexed="64"/>
      </bottom>
      <diagonal/>
    </border>
    <border>
      <left/>
      <right style="thin">
        <color indexed="64"/>
      </right>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hair">
        <color indexed="64"/>
      </bottom>
      <diagonal/>
    </border>
    <border>
      <left style="thin">
        <color indexed="64"/>
      </left>
      <right style="medium">
        <color indexed="64"/>
      </right>
      <top/>
      <bottom/>
      <diagonal/>
    </border>
    <border>
      <left/>
      <right/>
      <top/>
      <bottom style="thin">
        <color indexed="64"/>
      </bottom>
      <diagonal/>
    </border>
    <border>
      <left style="thin">
        <color indexed="64"/>
      </left>
      <right/>
      <top/>
      <bottom style="thin">
        <color indexed="64"/>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style="medium">
        <color indexed="64"/>
      </left>
      <right style="medium">
        <color indexed="64"/>
      </right>
      <top style="thin">
        <color indexed="64"/>
      </top>
      <bottom/>
      <diagonal/>
    </border>
    <border>
      <left style="thin">
        <color indexed="64"/>
      </left>
      <right style="hair">
        <color indexed="64"/>
      </right>
      <top style="thin">
        <color indexed="64"/>
      </top>
      <bottom style="thin">
        <color indexed="64"/>
      </bottom>
      <diagonal/>
    </border>
    <border>
      <left/>
      <right/>
      <top style="thin">
        <color indexed="64"/>
      </top>
      <bottom style="thin">
        <color indexed="64"/>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hair">
        <color indexed="64"/>
      </right>
      <top style="medium">
        <color indexed="64"/>
      </top>
      <bottom style="medium">
        <color indexed="64"/>
      </bottom>
      <diagonal/>
    </border>
    <border>
      <left style="hair">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style="thin">
        <color indexed="64"/>
      </left>
      <right style="medium">
        <color indexed="64"/>
      </right>
      <top/>
      <bottom style="medium">
        <color indexed="64"/>
      </bottom>
      <diagonal/>
    </border>
    <border>
      <left/>
      <right style="hair">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hair">
        <color indexed="64"/>
      </right>
      <top/>
      <bottom/>
      <diagonal/>
    </border>
    <border>
      <left style="hair">
        <color indexed="64"/>
      </left>
      <right style="hair">
        <color indexed="64"/>
      </right>
      <top style="medium">
        <color indexed="64"/>
      </top>
      <bottom/>
      <diagonal/>
    </border>
    <border>
      <left style="hair">
        <color indexed="64"/>
      </left>
      <right style="medium">
        <color indexed="64"/>
      </right>
      <top style="medium">
        <color indexed="64"/>
      </top>
      <bottom/>
      <diagonal/>
    </border>
    <border>
      <left style="hair">
        <color indexed="64"/>
      </left>
      <right style="hair">
        <color indexed="64"/>
      </right>
      <top style="hair">
        <color indexed="64"/>
      </top>
      <bottom/>
      <diagonal/>
    </border>
    <border>
      <left style="medium">
        <color indexed="64"/>
      </left>
      <right style="thin">
        <color indexed="64"/>
      </right>
      <top/>
      <bottom/>
      <diagonal/>
    </border>
    <border>
      <left style="thin">
        <color indexed="64"/>
      </left>
      <right style="hair">
        <color indexed="64"/>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hair">
        <color indexed="64"/>
      </top>
      <bottom/>
      <diagonal/>
    </border>
    <border>
      <left style="medium">
        <color indexed="64"/>
      </left>
      <right style="thin">
        <color indexed="64"/>
      </right>
      <top style="hair">
        <color indexed="64"/>
      </top>
      <bottom/>
      <diagonal/>
    </border>
    <border>
      <left style="thin">
        <color indexed="64"/>
      </left>
      <right/>
      <top style="hair">
        <color indexed="64"/>
      </top>
      <bottom/>
      <diagonal/>
    </border>
    <border>
      <left style="medium">
        <color indexed="64"/>
      </left>
      <right style="medium">
        <color indexed="64"/>
      </right>
      <top/>
      <bottom style="thin">
        <color indexed="64"/>
      </bottom>
      <diagonal/>
    </border>
    <border>
      <left/>
      <right/>
      <top style="hair">
        <color indexed="64"/>
      </top>
      <bottom/>
      <diagonal/>
    </border>
    <border>
      <left style="medium">
        <color indexed="64"/>
      </left>
      <right style="medium">
        <color indexed="64"/>
      </right>
      <top style="hair">
        <color indexed="64"/>
      </top>
      <bottom/>
      <diagonal/>
    </border>
    <border>
      <left style="medium">
        <color indexed="64"/>
      </left>
      <right style="hair">
        <color indexed="64"/>
      </right>
      <top style="hair">
        <color indexed="64"/>
      </top>
      <bottom/>
      <diagonal/>
    </border>
    <border>
      <left/>
      <right style="hair">
        <color indexed="64"/>
      </right>
      <top style="thin">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hair">
        <color indexed="64"/>
      </bottom>
      <diagonal/>
    </border>
    <border>
      <left style="thin">
        <color indexed="64"/>
      </left>
      <right/>
      <top/>
      <bottom/>
      <diagonal/>
    </border>
    <border>
      <left style="medium">
        <color indexed="64"/>
      </left>
      <right/>
      <top style="hair">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dotted">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ck">
        <color indexed="64"/>
      </right>
      <top style="medium">
        <color indexed="64"/>
      </top>
      <bottom style="hair">
        <color indexed="64"/>
      </bottom>
      <diagonal/>
    </border>
    <border>
      <left style="thin">
        <color indexed="64"/>
      </left>
      <right style="thick">
        <color indexed="64"/>
      </right>
      <top style="hair">
        <color indexed="64"/>
      </top>
      <bottom style="hair">
        <color indexed="64"/>
      </bottom>
      <diagonal/>
    </border>
    <border>
      <left style="thin">
        <color indexed="64"/>
      </left>
      <right style="thick">
        <color indexed="64"/>
      </right>
      <top style="hair">
        <color indexed="64"/>
      </top>
      <bottom style="medium">
        <color indexed="64"/>
      </bottom>
      <diagonal/>
    </border>
    <border>
      <left style="thin">
        <color indexed="64"/>
      </left>
      <right style="thick">
        <color indexed="64"/>
      </right>
      <top style="hair">
        <color indexed="64"/>
      </top>
      <bottom style="thick">
        <color indexed="64"/>
      </bottom>
      <diagonal/>
    </border>
    <border>
      <left style="thick">
        <color indexed="64"/>
      </left>
      <right style="thin">
        <color indexed="64"/>
      </right>
      <top style="medium">
        <color indexed="64"/>
      </top>
      <bottom style="hair">
        <color indexed="64"/>
      </bottom>
      <diagonal/>
    </border>
    <border>
      <left style="thick">
        <color indexed="64"/>
      </left>
      <right style="thin">
        <color indexed="64"/>
      </right>
      <top style="hair">
        <color indexed="64"/>
      </top>
      <bottom style="hair">
        <color indexed="64"/>
      </bottom>
      <diagonal/>
    </border>
    <border>
      <left style="thick">
        <color indexed="64"/>
      </left>
      <right style="thin">
        <color indexed="64"/>
      </right>
      <top style="hair">
        <color indexed="64"/>
      </top>
      <bottom style="medium">
        <color indexed="64"/>
      </bottom>
      <diagonal/>
    </border>
    <border>
      <left style="thick">
        <color indexed="64"/>
      </left>
      <right style="thin">
        <color indexed="64"/>
      </right>
      <top style="hair">
        <color indexed="64"/>
      </top>
      <bottom style="thick">
        <color indexed="64"/>
      </bottom>
      <diagonal/>
    </border>
    <border>
      <left style="medium">
        <color indexed="64"/>
      </left>
      <right style="thin">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thick">
        <color indexed="64"/>
      </left>
      <right/>
      <top/>
      <bottom style="medium">
        <color indexed="64"/>
      </bottom>
      <diagonal/>
    </border>
    <border>
      <left/>
      <right style="thick">
        <color indexed="64"/>
      </right>
      <top/>
      <bottom style="medium">
        <color indexed="64"/>
      </bottom>
      <diagonal/>
    </border>
    <border>
      <left style="thick">
        <color indexed="64"/>
      </left>
      <right/>
      <top style="thick">
        <color indexed="64"/>
      </top>
      <bottom/>
      <diagonal/>
    </border>
    <border>
      <left/>
      <right style="thick">
        <color indexed="64"/>
      </right>
      <top style="thick">
        <color indexed="64"/>
      </top>
      <bottom/>
      <diagonal/>
    </border>
    <border>
      <left style="medium">
        <color indexed="8"/>
      </left>
      <right style="medium">
        <color indexed="8"/>
      </right>
      <top style="medium">
        <color indexed="8"/>
      </top>
      <bottom style="medium">
        <color indexed="8"/>
      </bottom>
      <diagonal/>
    </border>
    <border>
      <left style="medium">
        <color indexed="8"/>
      </left>
      <right style="thin">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thin">
        <color indexed="8"/>
      </left>
      <right style="medium">
        <color indexed="8"/>
      </right>
      <top style="medium">
        <color indexed="8"/>
      </top>
      <bottom style="medium">
        <color indexed="8"/>
      </bottom>
      <diagonal/>
    </border>
    <border>
      <left style="medium">
        <color indexed="8"/>
      </left>
      <right/>
      <top style="medium">
        <color indexed="8"/>
      </top>
      <bottom style="medium">
        <color indexed="8"/>
      </bottom>
      <diagonal/>
    </border>
    <border>
      <left style="medium">
        <color indexed="8"/>
      </left>
      <right style="thin">
        <color indexed="8"/>
      </right>
      <top style="medium">
        <color indexed="8"/>
      </top>
      <bottom style="thin">
        <color indexed="8"/>
      </bottom>
      <diagonal/>
    </border>
    <border>
      <left style="thin">
        <color indexed="8"/>
      </left>
      <right style="thin">
        <color indexed="8"/>
      </right>
      <top style="medium">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medium">
        <color indexed="8"/>
      </right>
      <top style="thin">
        <color indexed="8"/>
      </top>
      <bottom style="thin">
        <color indexed="8"/>
      </bottom>
      <diagonal/>
    </border>
    <border>
      <left style="medium">
        <color indexed="8"/>
      </left>
      <right style="medium">
        <color indexed="8"/>
      </right>
      <top style="thin">
        <color indexed="8"/>
      </top>
      <bottom style="thin">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medium">
        <color indexed="8"/>
      </bottom>
      <diagonal/>
    </border>
    <border>
      <left style="medium">
        <color indexed="8"/>
      </left>
      <right style="medium">
        <color indexed="8"/>
      </right>
      <top/>
      <bottom style="thin">
        <color indexed="8"/>
      </bottom>
      <diagonal/>
    </border>
    <border>
      <left style="thin">
        <color indexed="8"/>
      </left>
      <right style="thin">
        <color indexed="8"/>
      </right>
      <top style="thin">
        <color indexed="8"/>
      </top>
      <bottom style="medium">
        <color indexed="8"/>
      </bottom>
      <diagonal/>
    </border>
    <border>
      <left style="medium">
        <color indexed="8"/>
      </left>
      <right/>
      <top style="medium">
        <color indexed="8"/>
      </top>
      <bottom/>
      <diagonal/>
    </border>
    <border>
      <left style="medium">
        <color indexed="8"/>
      </left>
      <right style="medium">
        <color indexed="8"/>
      </right>
      <top style="medium">
        <color indexed="8"/>
      </top>
      <bottom/>
      <diagonal/>
    </border>
    <border>
      <left style="thin">
        <color indexed="8"/>
      </left>
      <right style="thin">
        <color indexed="8"/>
      </right>
      <top style="medium">
        <color indexed="8"/>
      </top>
      <bottom/>
      <diagonal/>
    </border>
    <border>
      <left style="thin">
        <color indexed="8"/>
      </left>
      <right style="medium">
        <color indexed="8"/>
      </right>
      <top style="medium">
        <color indexed="8"/>
      </top>
      <bottom/>
      <diagonal/>
    </border>
    <border>
      <left style="medium">
        <color indexed="64"/>
      </left>
      <right style="medium">
        <color indexed="8"/>
      </right>
      <top style="medium">
        <color indexed="64"/>
      </top>
      <bottom style="thin">
        <color indexed="8"/>
      </bottom>
      <diagonal/>
    </border>
    <border>
      <left style="medium">
        <color indexed="8"/>
      </left>
      <right style="medium">
        <color indexed="8"/>
      </right>
      <top style="medium">
        <color indexed="64"/>
      </top>
      <bottom style="thin">
        <color indexed="8"/>
      </bottom>
      <diagonal/>
    </border>
    <border>
      <left style="thin">
        <color indexed="8"/>
      </left>
      <right style="thin">
        <color indexed="8"/>
      </right>
      <top style="medium">
        <color indexed="64"/>
      </top>
      <bottom style="thin">
        <color indexed="8"/>
      </bottom>
      <diagonal/>
    </border>
    <border>
      <left style="thin">
        <color indexed="8"/>
      </left>
      <right style="medium">
        <color indexed="64"/>
      </right>
      <top style="medium">
        <color indexed="64"/>
      </top>
      <bottom style="thin">
        <color indexed="8"/>
      </bottom>
      <diagonal/>
    </border>
    <border>
      <left style="medium">
        <color indexed="64"/>
      </left>
      <right style="medium">
        <color indexed="8"/>
      </right>
      <top style="thin">
        <color indexed="8"/>
      </top>
      <bottom style="thin">
        <color indexed="8"/>
      </bottom>
      <diagonal/>
    </border>
    <border>
      <left style="thin">
        <color indexed="8"/>
      </left>
      <right style="medium">
        <color indexed="64"/>
      </right>
      <top style="thin">
        <color indexed="8"/>
      </top>
      <bottom style="thin">
        <color indexed="8"/>
      </bottom>
      <diagonal/>
    </border>
    <border>
      <left style="medium">
        <color indexed="64"/>
      </left>
      <right style="medium">
        <color indexed="8"/>
      </right>
      <top style="thin">
        <color indexed="8"/>
      </top>
      <bottom style="medium">
        <color indexed="64"/>
      </bottom>
      <diagonal/>
    </border>
    <border>
      <left style="medium">
        <color indexed="8"/>
      </left>
      <right style="medium">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8"/>
      </left>
      <right style="medium">
        <color indexed="64"/>
      </right>
      <top style="thin">
        <color indexed="8"/>
      </top>
      <bottom style="medium">
        <color indexed="64"/>
      </bottom>
      <diagonal/>
    </border>
    <border>
      <left style="medium">
        <color indexed="64"/>
      </left>
      <right style="medium">
        <color indexed="8"/>
      </right>
      <top/>
      <bottom style="thin">
        <color indexed="8"/>
      </bottom>
      <diagonal/>
    </border>
    <border>
      <left style="thin">
        <color indexed="8"/>
      </left>
      <right style="thin">
        <color indexed="8"/>
      </right>
      <top/>
      <bottom style="thin">
        <color indexed="8"/>
      </bottom>
      <diagonal/>
    </border>
    <border>
      <left style="thin">
        <color indexed="8"/>
      </left>
      <right style="medium">
        <color indexed="64"/>
      </right>
      <top/>
      <bottom style="thin">
        <color indexed="8"/>
      </bottom>
      <diagonal/>
    </border>
    <border>
      <left style="thin">
        <color indexed="64"/>
      </left>
      <right style="medium">
        <color indexed="64"/>
      </right>
      <top style="hair">
        <color indexed="64"/>
      </top>
      <bottom/>
      <diagonal/>
    </border>
    <border>
      <left/>
      <right style="medium">
        <color indexed="8"/>
      </right>
      <top/>
      <bottom/>
      <diagonal/>
    </border>
    <border>
      <left style="medium">
        <color indexed="8"/>
      </left>
      <right style="medium">
        <color indexed="8"/>
      </right>
      <top/>
      <bottom style="medium">
        <color indexed="8"/>
      </bottom>
      <diagonal/>
    </border>
    <border>
      <left/>
      <right/>
      <top style="double">
        <color indexed="10"/>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s>
  <cellStyleXfs count="16">
    <xf numFmtId="0" fontId="0" fillId="0" borderId="0"/>
    <xf numFmtId="164" fontId="2" fillId="0" borderId="0" applyFont="0" applyFill="0" applyBorder="0" applyAlignment="0" applyProtection="0"/>
    <xf numFmtId="0" fontId="30" fillId="0" borderId="0" applyNumberFormat="0" applyFill="0" applyBorder="0" applyAlignment="0" applyProtection="0">
      <alignment vertical="top"/>
      <protection locked="0"/>
    </xf>
    <xf numFmtId="0" fontId="2" fillId="0" borderId="0"/>
    <xf numFmtId="0" fontId="2" fillId="0" borderId="0"/>
    <xf numFmtId="0" fontId="44" fillId="0" borderId="0"/>
    <xf numFmtId="0" fontId="43" fillId="0" borderId="0"/>
    <xf numFmtId="0" fontId="48" fillId="0" borderId="0"/>
    <xf numFmtId="0" fontId="45" fillId="0" borderId="0"/>
    <xf numFmtId="0" fontId="2" fillId="0" borderId="0"/>
    <xf numFmtId="0" fontId="2" fillId="0" borderId="0"/>
    <xf numFmtId="0" fontId="2" fillId="0" borderId="0"/>
    <xf numFmtId="0" fontId="1" fillId="0" borderId="0"/>
    <xf numFmtId="0" fontId="2" fillId="0" borderId="0"/>
    <xf numFmtId="0" fontId="3" fillId="0" borderId="0"/>
    <xf numFmtId="0" fontId="17" fillId="0" borderId="0"/>
  </cellStyleXfs>
  <cellXfs count="1378">
    <xf numFmtId="0" fontId="0" fillId="0" borderId="0" xfId="0"/>
    <xf numFmtId="0" fontId="3" fillId="0" borderId="1" xfId="0" applyFont="1" applyBorder="1" applyAlignment="1" applyProtection="1">
      <alignment horizontal="center"/>
      <protection hidden="1"/>
    </xf>
    <xf numFmtId="0" fontId="3" fillId="0" borderId="2" xfId="0" applyFont="1" applyBorder="1" applyAlignment="1" applyProtection="1">
      <alignment horizontal="center"/>
      <protection hidden="1"/>
    </xf>
    <xf numFmtId="0" fontId="3" fillId="0" borderId="3" xfId="0" applyFont="1" applyBorder="1" applyAlignment="1" applyProtection="1">
      <alignment horizontal="center"/>
      <protection hidden="1"/>
    </xf>
    <xf numFmtId="0" fontId="3" fillId="0" borderId="4" xfId="0" applyFont="1" applyBorder="1" applyAlignment="1" applyProtection="1">
      <alignment horizontal="center"/>
      <protection hidden="1"/>
    </xf>
    <xf numFmtId="0" fontId="3" fillId="0" borderId="5" xfId="0" applyFont="1" applyBorder="1" applyAlignment="1" applyProtection="1">
      <alignment horizontal="center"/>
      <protection hidden="1"/>
    </xf>
    <xf numFmtId="0" fontId="4" fillId="0" borderId="6" xfId="0" applyFont="1" applyBorder="1" applyAlignment="1" applyProtection="1">
      <alignment horizontal="center"/>
      <protection hidden="1"/>
    </xf>
    <xf numFmtId="0" fontId="4" fillId="0" borderId="5" xfId="0" applyFont="1" applyBorder="1" applyAlignment="1" applyProtection="1">
      <alignment horizontal="center"/>
      <protection hidden="1"/>
    </xf>
    <xf numFmtId="0" fontId="3" fillId="0" borderId="0" xfId="0" applyFont="1" applyAlignment="1" applyProtection="1">
      <protection hidden="1"/>
    </xf>
    <xf numFmtId="0" fontId="3" fillId="2" borderId="7" xfId="0" applyFont="1" applyFill="1" applyBorder="1" applyAlignment="1" applyProtection="1">
      <alignment horizontal="center"/>
      <protection hidden="1"/>
    </xf>
    <xf numFmtId="0" fontId="3" fillId="2" borderId="8" xfId="0" applyFont="1" applyFill="1" applyBorder="1" applyAlignment="1" applyProtection="1">
      <alignment horizontal="center"/>
      <protection hidden="1"/>
    </xf>
    <xf numFmtId="0" fontId="3" fillId="2" borderId="9" xfId="0" applyFont="1" applyFill="1" applyBorder="1" applyAlignment="1" applyProtection="1">
      <alignment horizontal="center"/>
      <protection hidden="1"/>
    </xf>
    <xf numFmtId="0" fontId="4" fillId="2" borderId="10" xfId="0" applyFont="1" applyFill="1" applyBorder="1" applyAlignment="1" applyProtection="1">
      <alignment horizontal="center"/>
      <protection hidden="1"/>
    </xf>
    <xf numFmtId="0" fontId="3" fillId="0" borderId="0" xfId="0" applyFont="1" applyProtection="1">
      <protection hidden="1"/>
    </xf>
    <xf numFmtId="0" fontId="3" fillId="0" borderId="0" xfId="0" applyFont="1" applyAlignment="1" applyProtection="1">
      <alignment horizontal="left"/>
      <protection hidden="1"/>
    </xf>
    <xf numFmtId="0" fontId="3" fillId="0" borderId="11" xfId="0" applyFont="1" applyBorder="1" applyAlignment="1" applyProtection="1">
      <alignment horizontal="center"/>
      <protection hidden="1"/>
    </xf>
    <xf numFmtId="0" fontId="3" fillId="0" borderId="0" xfId="0" applyFont="1" applyAlignment="1" applyProtection="1">
      <alignment horizontal="center"/>
      <protection hidden="1"/>
    </xf>
    <xf numFmtId="0" fontId="3" fillId="2" borderId="12" xfId="0" applyFont="1" applyFill="1" applyBorder="1" applyAlignment="1" applyProtection="1">
      <alignment horizontal="center"/>
      <protection hidden="1"/>
    </xf>
    <xf numFmtId="0" fontId="3" fillId="2" borderId="10" xfId="0" applyFont="1" applyFill="1" applyBorder="1" applyAlignment="1" applyProtection="1">
      <protection hidden="1"/>
    </xf>
    <xf numFmtId="0" fontId="3" fillId="2" borderId="13" xfId="0" applyFont="1" applyFill="1" applyBorder="1" applyAlignment="1" applyProtection="1">
      <alignment horizontal="center"/>
      <protection hidden="1"/>
    </xf>
    <xf numFmtId="0" fontId="3" fillId="0" borderId="0" xfId="0" applyFont="1" applyBorder="1" applyAlignment="1" applyProtection="1">
      <alignment horizontal="center"/>
      <protection hidden="1"/>
    </xf>
    <xf numFmtId="0" fontId="3" fillId="0" borderId="0" xfId="0" applyFont="1" applyBorder="1" applyProtection="1">
      <protection hidden="1"/>
    </xf>
    <xf numFmtId="0" fontId="3" fillId="0" borderId="6" xfId="0" applyFont="1" applyBorder="1" applyProtection="1">
      <protection hidden="1"/>
    </xf>
    <xf numFmtId="0" fontId="3" fillId="0" borderId="14" xfId="0" applyFont="1" applyBorder="1" applyAlignment="1" applyProtection="1">
      <alignment horizontal="right"/>
      <protection hidden="1"/>
    </xf>
    <xf numFmtId="0" fontId="3" fillId="0" borderId="15" xfId="0" applyFont="1" applyBorder="1" applyAlignment="1" applyProtection="1">
      <alignment horizontal="left"/>
      <protection hidden="1"/>
    </xf>
    <xf numFmtId="0" fontId="3" fillId="0" borderId="15" xfId="0" applyFont="1" applyBorder="1" applyAlignment="1" applyProtection="1">
      <alignment horizontal="center"/>
      <protection hidden="1"/>
    </xf>
    <xf numFmtId="0" fontId="3" fillId="0" borderId="16" xfId="0" applyFont="1" applyBorder="1" applyAlignment="1" applyProtection="1">
      <alignment horizontal="center"/>
      <protection hidden="1"/>
    </xf>
    <xf numFmtId="0" fontId="3" fillId="0" borderId="17" xfId="0" applyFont="1" applyBorder="1" applyAlignment="1" applyProtection="1">
      <alignment horizontal="center"/>
      <protection hidden="1"/>
    </xf>
    <xf numFmtId="0" fontId="3" fillId="0" borderId="18" xfId="0" applyFont="1" applyBorder="1" applyAlignment="1" applyProtection="1">
      <alignment horizontal="center"/>
      <protection hidden="1"/>
    </xf>
    <xf numFmtId="0" fontId="3" fillId="0" borderId="19" xfId="0" applyFont="1" applyBorder="1" applyAlignment="1" applyProtection="1">
      <alignment horizontal="center"/>
      <protection hidden="1"/>
    </xf>
    <xf numFmtId="0" fontId="3" fillId="0" borderId="20" xfId="0" applyFont="1" applyBorder="1" applyAlignment="1" applyProtection="1">
      <alignment horizontal="center"/>
      <protection hidden="1"/>
    </xf>
    <xf numFmtId="0" fontId="3" fillId="0" borderId="5" xfId="0" applyFont="1" applyBorder="1" applyProtection="1">
      <protection hidden="1"/>
    </xf>
    <xf numFmtId="0" fontId="3" fillId="0" borderId="3" xfId="0" applyFont="1" applyBorder="1" applyAlignment="1" applyProtection="1">
      <alignment horizontal="right"/>
      <protection hidden="1"/>
    </xf>
    <xf numFmtId="0" fontId="3" fillId="0" borderId="21" xfId="0" applyFont="1" applyBorder="1" applyAlignment="1" applyProtection="1">
      <alignment horizontal="left"/>
      <protection hidden="1"/>
    </xf>
    <xf numFmtId="0" fontId="3" fillId="0" borderId="22" xfId="0" applyFont="1" applyBorder="1" applyAlignment="1" applyProtection="1">
      <alignment horizontal="center"/>
      <protection hidden="1"/>
    </xf>
    <xf numFmtId="0" fontId="3" fillId="0" borderId="23" xfId="0" applyFont="1" applyBorder="1" applyAlignment="1" applyProtection="1">
      <alignment horizontal="center"/>
      <protection hidden="1"/>
    </xf>
    <xf numFmtId="0" fontId="3" fillId="0" borderId="3" xfId="0" applyFont="1" applyBorder="1" applyAlignment="1" applyProtection="1">
      <alignment horizontal="left"/>
      <protection hidden="1"/>
    </xf>
    <xf numFmtId="0" fontId="3" fillId="0" borderId="24" xfId="0" applyFont="1" applyBorder="1" applyProtection="1">
      <protection hidden="1"/>
    </xf>
    <xf numFmtId="0" fontId="3" fillId="0" borderId="25" xfId="0" applyFont="1" applyBorder="1" applyAlignment="1" applyProtection="1">
      <alignment horizontal="center"/>
      <protection hidden="1"/>
    </xf>
    <xf numFmtId="0" fontId="3" fillId="4" borderId="5" xfId="0" applyFont="1" applyFill="1" applyBorder="1" applyAlignment="1" applyProtection="1">
      <alignment horizontal="center"/>
      <protection hidden="1"/>
    </xf>
    <xf numFmtId="0" fontId="3" fillId="0" borderId="26" xfId="0" applyFont="1" applyBorder="1" applyProtection="1">
      <protection hidden="1"/>
    </xf>
    <xf numFmtId="167" fontId="3" fillId="0" borderId="27" xfId="0" applyNumberFormat="1" applyFont="1" applyBorder="1" applyProtection="1">
      <protection hidden="1"/>
    </xf>
    <xf numFmtId="0" fontId="3" fillId="2" borderId="28" xfId="0" applyFont="1" applyFill="1" applyBorder="1" applyProtection="1">
      <protection hidden="1"/>
    </xf>
    <xf numFmtId="0" fontId="3" fillId="2" borderId="29" xfId="0" applyFont="1" applyFill="1" applyBorder="1"/>
    <xf numFmtId="0" fontId="3" fillId="2" borderId="30" xfId="0" applyFont="1" applyFill="1" applyBorder="1"/>
    <xf numFmtId="0" fontId="3" fillId="2" borderId="31" xfId="0" applyFont="1" applyFill="1" applyBorder="1"/>
    <xf numFmtId="0" fontId="3" fillId="2" borderId="32" xfId="0" applyFont="1" applyFill="1" applyBorder="1"/>
    <xf numFmtId="0" fontId="3" fillId="2" borderId="33" xfId="0" applyFont="1" applyFill="1" applyBorder="1"/>
    <xf numFmtId="0" fontId="3" fillId="2" borderId="34" xfId="0" applyFont="1" applyFill="1" applyBorder="1"/>
    <xf numFmtId="0" fontId="3" fillId="2" borderId="35" xfId="0" applyFont="1" applyFill="1" applyBorder="1"/>
    <xf numFmtId="0" fontId="3" fillId="2" borderId="36" xfId="0" applyFont="1" applyFill="1" applyBorder="1"/>
    <xf numFmtId="0" fontId="9" fillId="4" borderId="37" xfId="0" applyFont="1" applyFill="1" applyBorder="1" applyAlignment="1" applyProtection="1">
      <alignment horizontal="center" vertical="top"/>
      <protection hidden="1"/>
    </xf>
    <xf numFmtId="0" fontId="9" fillId="4" borderId="38" xfId="0" applyFont="1" applyFill="1" applyBorder="1" applyAlignment="1" applyProtection="1">
      <alignment horizontal="center" vertical="top"/>
      <protection hidden="1"/>
    </xf>
    <xf numFmtId="0" fontId="9" fillId="4" borderId="39" xfId="0" applyFont="1" applyFill="1" applyBorder="1" applyAlignment="1" applyProtection="1">
      <alignment horizontal="center" vertical="top"/>
      <protection hidden="1"/>
    </xf>
    <xf numFmtId="0" fontId="9" fillId="4" borderId="40" xfId="0" applyFont="1" applyFill="1" applyBorder="1" applyAlignment="1" applyProtection="1">
      <alignment horizontal="center" vertical="top"/>
      <protection hidden="1"/>
    </xf>
    <xf numFmtId="0" fontId="10" fillId="2" borderId="13" xfId="0" applyFont="1" applyFill="1" applyBorder="1" applyAlignment="1" applyProtection="1">
      <alignment horizontal="center"/>
      <protection hidden="1"/>
    </xf>
    <xf numFmtId="0" fontId="10" fillId="0" borderId="41" xfId="0" applyFont="1" applyBorder="1" applyAlignment="1" applyProtection="1">
      <alignment horizontal="center"/>
      <protection hidden="1"/>
    </xf>
    <xf numFmtId="0" fontId="10" fillId="0" borderId="42" xfId="0" applyFont="1" applyBorder="1" applyAlignment="1" applyProtection="1">
      <alignment horizontal="center"/>
      <protection hidden="1"/>
    </xf>
    <xf numFmtId="0" fontId="4" fillId="0" borderId="0" xfId="0" applyFont="1" applyProtection="1">
      <protection hidden="1"/>
    </xf>
    <xf numFmtId="0" fontId="12" fillId="0" borderId="0" xfId="0" applyFont="1" applyProtection="1">
      <protection hidden="1"/>
    </xf>
    <xf numFmtId="0" fontId="13" fillId="0" borderId="0" xfId="0" applyFont="1" applyProtection="1">
      <protection hidden="1"/>
    </xf>
    <xf numFmtId="0" fontId="3" fillId="0" borderId="43" xfId="0" applyFont="1" applyBorder="1" applyProtection="1">
      <protection hidden="1"/>
    </xf>
    <xf numFmtId="0" fontId="3" fillId="2" borderId="44" xfId="0" applyFont="1" applyFill="1" applyBorder="1" applyAlignment="1" applyProtection="1">
      <alignment horizontal="center"/>
      <protection hidden="1"/>
    </xf>
    <xf numFmtId="0" fontId="3" fillId="2" borderId="45" xfId="0" applyFont="1" applyFill="1" applyBorder="1" applyAlignment="1" applyProtection="1">
      <alignment horizontal="center"/>
      <protection hidden="1"/>
    </xf>
    <xf numFmtId="0" fontId="3" fillId="0" borderId="46" xfId="0" applyFont="1" applyBorder="1" applyAlignment="1" applyProtection="1">
      <alignment horizontal="left" vertical="center"/>
      <protection hidden="1"/>
    </xf>
    <xf numFmtId="0" fontId="3" fillId="0" borderId="42" xfId="0" applyFont="1" applyBorder="1" applyAlignment="1" applyProtection="1">
      <alignment horizontal="left" vertical="center"/>
      <protection hidden="1"/>
    </xf>
    <xf numFmtId="0" fontId="3" fillId="0" borderId="47" xfId="0" applyFont="1" applyBorder="1" applyAlignment="1" applyProtection="1">
      <alignment horizontal="left" vertical="center"/>
      <protection hidden="1"/>
    </xf>
    <xf numFmtId="0" fontId="3" fillId="2" borderId="48" xfId="0" applyFont="1" applyFill="1" applyBorder="1" applyAlignment="1" applyProtection="1">
      <alignment horizontal="center"/>
      <protection hidden="1"/>
    </xf>
    <xf numFmtId="0" fontId="3" fillId="4" borderId="49" xfId="0" applyFont="1" applyFill="1" applyBorder="1" applyAlignment="1" applyProtection="1">
      <alignment horizontal="center"/>
      <protection hidden="1"/>
    </xf>
    <xf numFmtId="0" fontId="3" fillId="4" borderId="4" xfId="0" applyFont="1" applyFill="1" applyBorder="1" applyAlignment="1" applyProtection="1">
      <alignment horizontal="center"/>
      <protection hidden="1"/>
    </xf>
    <xf numFmtId="0" fontId="3" fillId="4" borderId="23" xfId="0" applyFont="1" applyFill="1" applyBorder="1" applyAlignment="1" applyProtection="1">
      <alignment horizontal="center"/>
      <protection hidden="1"/>
    </xf>
    <xf numFmtId="0" fontId="3" fillId="4" borderId="50" xfId="0" applyFont="1" applyFill="1" applyBorder="1" applyAlignment="1" applyProtection="1">
      <alignment horizontal="center"/>
      <protection hidden="1"/>
    </xf>
    <xf numFmtId="0" fontId="3" fillId="2" borderId="51" xfId="0" applyFont="1" applyFill="1" applyBorder="1" applyAlignment="1" applyProtection="1">
      <alignment horizontal="center"/>
      <protection hidden="1"/>
    </xf>
    <xf numFmtId="0" fontId="3" fillId="4" borderId="52" xfId="0" applyFont="1" applyFill="1" applyBorder="1" applyAlignment="1" applyProtection="1">
      <alignment horizontal="left"/>
      <protection hidden="1"/>
    </xf>
    <xf numFmtId="0" fontId="3" fillId="4" borderId="53" xfId="0" applyFont="1" applyFill="1" applyBorder="1" applyAlignment="1" applyProtection="1">
      <alignment horizontal="left"/>
      <protection hidden="1"/>
    </xf>
    <xf numFmtId="0" fontId="3" fillId="4" borderId="54" xfId="0" applyFont="1" applyFill="1" applyBorder="1" applyAlignment="1" applyProtection="1">
      <alignment horizontal="left"/>
      <protection hidden="1"/>
    </xf>
    <xf numFmtId="0" fontId="3" fillId="4" borderId="55" xfId="0" applyFont="1" applyFill="1" applyBorder="1" applyAlignment="1" applyProtection="1">
      <alignment horizontal="left"/>
      <protection hidden="1"/>
    </xf>
    <xf numFmtId="0" fontId="5" fillId="4" borderId="46" xfId="0" applyFont="1" applyFill="1" applyBorder="1" applyAlignment="1" applyProtection="1">
      <alignment horizontal="center"/>
      <protection hidden="1"/>
    </xf>
    <xf numFmtId="0" fontId="4" fillId="4" borderId="42" xfId="0" applyFont="1" applyFill="1" applyBorder="1" applyAlignment="1" applyProtection="1">
      <alignment horizontal="center"/>
      <protection hidden="1"/>
    </xf>
    <xf numFmtId="0" fontId="4" fillId="4" borderId="56" xfId="0" applyFont="1" applyFill="1" applyBorder="1" applyAlignment="1" applyProtection="1">
      <alignment horizontal="center"/>
      <protection hidden="1"/>
    </xf>
    <xf numFmtId="0" fontId="4" fillId="4" borderId="57" xfId="0" applyFont="1" applyFill="1" applyBorder="1" applyAlignment="1" applyProtection="1">
      <alignment horizontal="center"/>
      <protection hidden="1"/>
    </xf>
    <xf numFmtId="0" fontId="3" fillId="4" borderId="58" xfId="0" applyFont="1" applyFill="1" applyBorder="1" applyAlignment="1" applyProtection="1">
      <alignment horizontal="center"/>
      <protection hidden="1"/>
    </xf>
    <xf numFmtId="0" fontId="3" fillId="4" borderId="59" xfId="0" applyFont="1" applyFill="1" applyBorder="1" applyAlignment="1" applyProtection="1">
      <alignment horizontal="center"/>
      <protection hidden="1"/>
    </xf>
    <xf numFmtId="0" fontId="3" fillId="4" borderId="3" xfId="0" applyFont="1" applyFill="1" applyBorder="1" applyAlignment="1" applyProtection="1">
      <alignment horizontal="center"/>
      <protection hidden="1"/>
    </xf>
    <xf numFmtId="0" fontId="3" fillId="4" borderId="16" xfId="0" applyFont="1" applyFill="1" applyBorder="1" applyAlignment="1" applyProtection="1">
      <alignment horizontal="center"/>
      <protection hidden="1"/>
    </xf>
    <xf numFmtId="0" fontId="3" fillId="4" borderId="19" xfId="0" applyFont="1" applyFill="1" applyBorder="1" applyAlignment="1" applyProtection="1">
      <alignment horizontal="center"/>
      <protection hidden="1"/>
    </xf>
    <xf numFmtId="0" fontId="3" fillId="4" borderId="20" xfId="0" applyFont="1" applyFill="1" applyBorder="1" applyAlignment="1" applyProtection="1">
      <alignment horizontal="center"/>
      <protection hidden="1"/>
    </xf>
    <xf numFmtId="0" fontId="3" fillId="4" borderId="60" xfId="0" applyFont="1" applyFill="1" applyBorder="1" applyAlignment="1" applyProtection="1">
      <alignment horizontal="center"/>
      <protection hidden="1"/>
    </xf>
    <xf numFmtId="0" fontId="3" fillId="4" borderId="61" xfId="0" applyFont="1" applyFill="1" applyBorder="1" applyAlignment="1" applyProtection="1">
      <alignment horizontal="center"/>
      <protection hidden="1"/>
    </xf>
    <xf numFmtId="0" fontId="3" fillId="0" borderId="62" xfId="0" applyFont="1" applyBorder="1" applyAlignment="1" applyProtection="1">
      <alignment horizontal="left"/>
      <protection hidden="1"/>
    </xf>
    <xf numFmtId="0" fontId="3" fillId="0" borderId="58" xfId="0" applyFont="1" applyBorder="1" applyAlignment="1" applyProtection="1">
      <alignment horizontal="center"/>
      <protection hidden="1"/>
    </xf>
    <xf numFmtId="0" fontId="3" fillId="0" borderId="49" xfId="0" applyFont="1" applyBorder="1" applyAlignment="1" applyProtection="1">
      <alignment horizontal="center"/>
      <protection hidden="1"/>
    </xf>
    <xf numFmtId="0" fontId="3" fillId="0" borderId="59" xfId="0" applyFont="1" applyBorder="1" applyAlignment="1" applyProtection="1">
      <alignment horizontal="center"/>
      <protection hidden="1"/>
    </xf>
    <xf numFmtId="0" fontId="3" fillId="0" borderId="63" xfId="0" applyFont="1" applyBorder="1" applyAlignment="1" applyProtection="1">
      <alignment horizontal="center"/>
      <protection hidden="1"/>
    </xf>
    <xf numFmtId="0" fontId="3" fillId="0" borderId="64" xfId="0" applyFont="1" applyBorder="1" applyAlignment="1" applyProtection="1">
      <alignment horizontal="left"/>
      <protection hidden="1"/>
    </xf>
    <xf numFmtId="0" fontId="3" fillId="0" borderId="65" xfId="0" applyFont="1" applyBorder="1" applyAlignment="1" applyProtection="1">
      <alignment horizontal="center"/>
      <protection hidden="1"/>
    </xf>
    <xf numFmtId="0" fontId="3" fillId="0" borderId="66" xfId="0" applyFont="1" applyBorder="1" applyAlignment="1" applyProtection="1">
      <alignment horizontal="left"/>
      <protection hidden="1"/>
    </xf>
    <xf numFmtId="0" fontId="3" fillId="0" borderId="67" xfId="0" applyFont="1" applyBorder="1" applyAlignment="1" applyProtection="1">
      <alignment horizontal="center"/>
      <protection hidden="1"/>
    </xf>
    <xf numFmtId="0" fontId="3" fillId="0" borderId="68" xfId="0" applyFont="1" applyBorder="1" applyAlignment="1" applyProtection="1">
      <alignment horizontal="center"/>
      <protection hidden="1"/>
    </xf>
    <xf numFmtId="0" fontId="4" fillId="2" borderId="13" xfId="0" applyFont="1" applyFill="1" applyBorder="1" applyAlignment="1" applyProtection="1">
      <alignment horizontal="center"/>
      <protection hidden="1"/>
    </xf>
    <xf numFmtId="0" fontId="16" fillId="3" borderId="6" xfId="0" applyFont="1" applyFill="1" applyBorder="1" applyAlignment="1" applyProtection="1">
      <alignment horizontal="center"/>
      <protection hidden="1"/>
    </xf>
    <xf numFmtId="0" fontId="16" fillId="6" borderId="5" xfId="0" applyFont="1" applyFill="1" applyBorder="1" applyAlignment="1" applyProtection="1">
      <alignment horizontal="center"/>
      <protection hidden="1"/>
    </xf>
    <xf numFmtId="0" fontId="17" fillId="4" borderId="5" xfId="0" applyFont="1" applyFill="1" applyBorder="1" applyAlignment="1" applyProtection="1">
      <alignment horizontal="center"/>
      <protection hidden="1"/>
    </xf>
    <xf numFmtId="0" fontId="17" fillId="5" borderId="24" xfId="0" applyFont="1" applyFill="1" applyBorder="1" applyAlignment="1" applyProtection="1">
      <alignment horizontal="center"/>
      <protection hidden="1"/>
    </xf>
    <xf numFmtId="0" fontId="6" fillId="0" borderId="69" xfId="0" applyFont="1" applyBorder="1" applyAlignment="1" applyProtection="1">
      <protection hidden="1"/>
    </xf>
    <xf numFmtId="0" fontId="3" fillId="2" borderId="7" xfId="0" applyFont="1" applyFill="1" applyBorder="1" applyAlignment="1" applyProtection="1">
      <protection hidden="1"/>
    </xf>
    <xf numFmtId="0" fontId="16" fillId="3" borderId="26" xfId="0" applyFont="1" applyFill="1" applyBorder="1" applyAlignment="1" applyProtection="1">
      <alignment horizontal="center"/>
      <protection hidden="1"/>
    </xf>
    <xf numFmtId="0" fontId="17" fillId="5" borderId="70" xfId="0" applyFont="1" applyFill="1" applyBorder="1" applyAlignment="1" applyProtection="1">
      <alignment horizontal="center"/>
      <protection hidden="1"/>
    </xf>
    <xf numFmtId="0" fontId="6" fillId="2" borderId="44" xfId="0" applyFont="1" applyFill="1" applyBorder="1" applyAlignment="1" applyProtection="1">
      <protection hidden="1"/>
    </xf>
    <xf numFmtId="0" fontId="3" fillId="3" borderId="0" xfId="0" applyFont="1" applyFill="1" applyProtection="1">
      <protection hidden="1"/>
    </xf>
    <xf numFmtId="0" fontId="3" fillId="2" borderId="71" xfId="0" applyFont="1" applyFill="1" applyBorder="1"/>
    <xf numFmtId="0" fontId="3" fillId="2" borderId="72" xfId="0" applyFont="1" applyFill="1" applyBorder="1"/>
    <xf numFmtId="0" fontId="3" fillId="0" borderId="73" xfId="0" applyFont="1" applyBorder="1" applyProtection="1">
      <protection hidden="1"/>
    </xf>
    <xf numFmtId="0" fontId="3" fillId="4" borderId="74" xfId="0" applyFont="1" applyFill="1" applyBorder="1" applyAlignment="1" applyProtection="1">
      <alignment horizontal="left"/>
      <protection hidden="1"/>
    </xf>
    <xf numFmtId="0" fontId="3" fillId="4" borderId="75" xfId="0" applyFont="1" applyFill="1" applyBorder="1" applyAlignment="1" applyProtection="1">
      <alignment horizontal="center"/>
      <protection hidden="1"/>
    </xf>
    <xf numFmtId="0" fontId="3" fillId="4" borderId="76" xfId="0" applyFont="1" applyFill="1" applyBorder="1" applyAlignment="1" applyProtection="1">
      <alignment horizontal="center"/>
      <protection hidden="1"/>
    </xf>
    <xf numFmtId="0" fontId="3" fillId="4" borderId="77" xfId="0" applyFont="1" applyFill="1" applyBorder="1" applyAlignment="1" applyProtection="1">
      <alignment horizontal="center"/>
      <protection hidden="1"/>
    </xf>
    <xf numFmtId="0" fontId="4" fillId="4" borderId="78" xfId="0" applyFont="1" applyFill="1" applyBorder="1" applyAlignment="1" applyProtection="1">
      <alignment horizontal="center"/>
      <protection hidden="1"/>
    </xf>
    <xf numFmtId="0" fontId="9" fillId="4" borderId="79" xfId="0" applyFont="1" applyFill="1" applyBorder="1" applyAlignment="1" applyProtection="1">
      <alignment horizontal="center" vertical="top"/>
      <protection hidden="1"/>
    </xf>
    <xf numFmtId="0" fontId="6" fillId="4" borderId="80" xfId="0" applyFont="1" applyFill="1" applyBorder="1" applyAlignment="1" applyProtection="1">
      <alignment horizontal="right"/>
      <protection hidden="1"/>
    </xf>
    <xf numFmtId="0" fontId="6" fillId="4" borderId="17" xfId="0" applyFont="1" applyFill="1" applyBorder="1" applyAlignment="1" applyProtection="1">
      <alignment horizontal="right"/>
      <protection hidden="1"/>
    </xf>
    <xf numFmtId="0" fontId="6" fillId="4" borderId="27" xfId="0" applyFont="1" applyFill="1" applyBorder="1" applyAlignment="1" applyProtection="1">
      <alignment horizontal="right"/>
      <protection hidden="1"/>
    </xf>
    <xf numFmtId="0" fontId="6" fillId="4" borderId="81" xfId="0" applyFont="1" applyFill="1" applyBorder="1" applyAlignment="1" applyProtection="1">
      <alignment horizontal="right"/>
      <protection hidden="1"/>
    </xf>
    <xf numFmtId="0" fontId="6" fillId="4" borderId="82" xfId="0" applyFont="1" applyFill="1" applyBorder="1" applyAlignment="1" applyProtection="1">
      <alignment horizontal="right"/>
      <protection hidden="1"/>
    </xf>
    <xf numFmtId="0" fontId="6" fillId="4" borderId="39" xfId="0" applyFont="1" applyFill="1" applyBorder="1" applyAlignment="1" applyProtection="1">
      <alignment horizontal="right"/>
      <protection hidden="1"/>
    </xf>
    <xf numFmtId="0" fontId="6" fillId="4" borderId="38" xfId="0" applyFont="1" applyFill="1" applyBorder="1" applyAlignment="1" applyProtection="1">
      <alignment horizontal="right"/>
      <protection hidden="1"/>
    </xf>
    <xf numFmtId="0" fontId="6" fillId="4" borderId="40" xfId="0" applyFont="1" applyFill="1" applyBorder="1" applyAlignment="1" applyProtection="1">
      <alignment horizontal="right"/>
      <protection hidden="1"/>
    </xf>
    <xf numFmtId="0" fontId="6" fillId="4" borderId="79" xfId="0" applyFont="1" applyFill="1" applyBorder="1" applyAlignment="1" applyProtection="1">
      <alignment horizontal="right"/>
      <protection hidden="1"/>
    </xf>
    <xf numFmtId="0" fontId="6" fillId="4" borderId="83" xfId="0" applyFont="1" applyFill="1" applyBorder="1" applyAlignment="1" applyProtection="1">
      <alignment horizontal="right"/>
      <protection hidden="1"/>
    </xf>
    <xf numFmtId="1" fontId="3" fillId="0" borderId="19" xfId="0" applyNumberFormat="1" applyFont="1" applyBorder="1" applyAlignment="1" applyProtection="1">
      <alignment horizontal="center"/>
      <protection hidden="1"/>
    </xf>
    <xf numFmtId="0" fontId="6" fillId="0" borderId="0" xfId="0" applyFont="1" applyProtection="1">
      <protection hidden="1"/>
    </xf>
    <xf numFmtId="0" fontId="3" fillId="0" borderId="5" xfId="0" applyFont="1" applyBorder="1" applyAlignment="1" applyProtection="1">
      <protection hidden="1"/>
    </xf>
    <xf numFmtId="0" fontId="3" fillId="0" borderId="24" xfId="0" applyFont="1" applyBorder="1" applyAlignment="1" applyProtection="1">
      <protection hidden="1"/>
    </xf>
    <xf numFmtId="0" fontId="3" fillId="0" borderId="0" xfId="0" applyFont="1" applyFill="1" applyAlignment="1" applyProtection="1">
      <alignment horizontal="center"/>
      <protection hidden="1"/>
    </xf>
    <xf numFmtId="0" fontId="6" fillId="2" borderId="84" xfId="0" applyFont="1" applyFill="1" applyBorder="1" applyAlignment="1" applyProtection="1">
      <alignment horizontal="center"/>
      <protection hidden="1"/>
    </xf>
    <xf numFmtId="0" fontId="3" fillId="2" borderId="85" xfId="0" applyFont="1" applyFill="1" applyBorder="1" applyProtection="1">
      <protection hidden="1"/>
    </xf>
    <xf numFmtId="0" fontId="4" fillId="2" borderId="86" xfId="0" applyFont="1" applyFill="1" applyBorder="1" applyProtection="1">
      <protection hidden="1"/>
    </xf>
    <xf numFmtId="172" fontId="6" fillId="2" borderId="87" xfId="0" applyNumberFormat="1" applyFont="1" applyFill="1" applyBorder="1" applyAlignment="1" applyProtection="1">
      <alignment horizontal="center" vertical="center"/>
      <protection hidden="1"/>
    </xf>
    <xf numFmtId="0" fontId="3" fillId="2" borderId="53" xfId="0" applyFont="1" applyFill="1" applyBorder="1" applyAlignment="1" applyProtection="1">
      <alignment vertical="center"/>
      <protection hidden="1"/>
    </xf>
    <xf numFmtId="0" fontId="4" fillId="2" borderId="38" xfId="0" applyFont="1" applyFill="1" applyBorder="1" applyAlignment="1" applyProtection="1">
      <alignment horizontal="center" vertical="center"/>
      <protection hidden="1"/>
    </xf>
    <xf numFmtId="0" fontId="3" fillId="2" borderId="90" xfId="0" applyFont="1" applyFill="1" applyBorder="1" applyProtection="1">
      <protection hidden="1"/>
    </xf>
    <xf numFmtId="0" fontId="4" fillId="2" borderId="91" xfId="0" applyFont="1" applyFill="1" applyBorder="1" applyAlignment="1" applyProtection="1">
      <alignment horizontal="center" textRotation="180"/>
      <protection hidden="1"/>
    </xf>
    <xf numFmtId="0" fontId="3" fillId="2" borderId="92" xfId="0" applyFont="1" applyFill="1" applyBorder="1" applyAlignment="1" applyProtection="1">
      <protection hidden="1"/>
    </xf>
    <xf numFmtId="0" fontId="3" fillId="2" borderId="93" xfId="0" applyFont="1" applyFill="1" applyBorder="1" applyAlignment="1" applyProtection="1">
      <alignment horizontal="center"/>
      <protection hidden="1"/>
    </xf>
    <xf numFmtId="0" fontId="3" fillId="2" borderId="94" xfId="0" applyFont="1" applyFill="1" applyBorder="1" applyAlignment="1" applyProtection="1">
      <alignment horizontal="center"/>
      <protection hidden="1"/>
    </xf>
    <xf numFmtId="0" fontId="3" fillId="0" borderId="6" xfId="0" applyFont="1" applyBorder="1" applyAlignment="1" applyProtection="1">
      <protection hidden="1"/>
    </xf>
    <xf numFmtId="0" fontId="3" fillId="0" borderId="95" xfId="0" applyFont="1" applyBorder="1" applyAlignment="1" applyProtection="1">
      <alignment horizontal="center"/>
      <protection hidden="1"/>
    </xf>
    <xf numFmtId="0" fontId="5" fillId="0" borderId="62" xfId="0" applyFont="1" applyBorder="1" applyAlignment="1" applyProtection="1">
      <protection hidden="1"/>
    </xf>
    <xf numFmtId="0" fontId="3" fillId="0" borderId="69" xfId="0" applyFont="1" applyBorder="1" applyAlignment="1" applyProtection="1">
      <alignment horizontal="left"/>
      <protection hidden="1"/>
    </xf>
    <xf numFmtId="0" fontId="3" fillId="0" borderId="96" xfId="0" applyFont="1" applyBorder="1" applyAlignment="1" applyProtection="1">
      <alignment horizontal="center"/>
      <protection hidden="1"/>
    </xf>
    <xf numFmtId="0" fontId="3" fillId="3" borderId="48" xfId="0" applyFont="1" applyFill="1" applyBorder="1" applyAlignment="1" applyProtection="1">
      <alignment horizontal="center"/>
      <protection hidden="1"/>
    </xf>
    <xf numFmtId="2" fontId="3" fillId="3" borderId="48" xfId="0" applyNumberFormat="1" applyFont="1" applyFill="1" applyBorder="1" applyAlignment="1" applyProtection="1">
      <alignment horizontal="center"/>
      <protection hidden="1"/>
    </xf>
    <xf numFmtId="2" fontId="3" fillId="3" borderId="45" xfId="0" applyNumberFormat="1" applyFont="1" applyFill="1" applyBorder="1" applyAlignment="1" applyProtection="1">
      <alignment horizontal="center"/>
      <protection hidden="1"/>
    </xf>
    <xf numFmtId="16" fontId="3" fillId="3" borderId="48" xfId="0" applyNumberFormat="1" applyFont="1" applyFill="1" applyBorder="1" applyAlignment="1" applyProtection="1">
      <alignment horizontal="center" textRotation="90"/>
      <protection hidden="1"/>
    </xf>
    <xf numFmtId="0" fontId="3" fillId="3" borderId="0" xfId="0" applyFont="1" applyFill="1" applyBorder="1" applyAlignment="1" applyProtection="1">
      <alignment horizontal="center" textRotation="180"/>
      <protection hidden="1"/>
    </xf>
    <xf numFmtId="2" fontId="3" fillId="3" borderId="97" xfId="0" applyNumberFormat="1" applyFont="1" applyFill="1" applyBorder="1" applyAlignment="1" applyProtection="1">
      <alignment horizontal="center" textRotation="180"/>
      <protection hidden="1"/>
    </xf>
    <xf numFmtId="2" fontId="3" fillId="3" borderId="98" xfId="0" applyNumberFormat="1" applyFont="1" applyFill="1" applyBorder="1" applyAlignment="1" applyProtection="1">
      <alignment horizontal="center" textRotation="180"/>
      <protection hidden="1"/>
    </xf>
    <xf numFmtId="16" fontId="3" fillId="3" borderId="97" xfId="0" applyNumberFormat="1" applyFont="1" applyFill="1" applyBorder="1" applyAlignment="1" applyProtection="1">
      <alignment horizontal="center" textRotation="90"/>
      <protection hidden="1"/>
    </xf>
    <xf numFmtId="0" fontId="14" fillId="0" borderId="0" xfId="0" applyFont="1" applyProtection="1">
      <protection hidden="1"/>
    </xf>
    <xf numFmtId="0" fontId="14" fillId="0" borderId="0" xfId="0" applyFont="1" applyAlignment="1" applyProtection="1">
      <alignment horizontal="right"/>
      <protection hidden="1"/>
    </xf>
    <xf numFmtId="0" fontId="3" fillId="0" borderId="0" xfId="0" applyFont="1" applyBorder="1" applyAlignment="1" applyProtection="1">
      <alignment horizontal="center" vertical="center"/>
      <protection hidden="1"/>
    </xf>
    <xf numFmtId="167" fontId="3" fillId="0" borderId="99" xfId="0" applyNumberFormat="1" applyFont="1" applyBorder="1" applyAlignment="1" applyProtection="1">
      <alignment horizontal="center" vertical="center"/>
      <protection hidden="1"/>
    </xf>
    <xf numFmtId="167" fontId="3" fillId="0" borderId="100" xfId="0" applyNumberFormat="1" applyFont="1" applyBorder="1" applyAlignment="1" applyProtection="1">
      <alignment horizontal="left" vertical="center"/>
      <protection hidden="1"/>
    </xf>
    <xf numFmtId="0" fontId="3" fillId="2" borderId="100" xfId="0" applyFont="1" applyFill="1" applyBorder="1" applyAlignment="1" applyProtection="1">
      <alignment horizontal="center" vertical="center"/>
      <protection hidden="1"/>
    </xf>
    <xf numFmtId="0" fontId="5" fillId="2" borderId="100" xfId="0" applyFont="1" applyFill="1" applyBorder="1" applyAlignment="1" applyProtection="1">
      <alignment horizontal="center" vertical="center"/>
      <protection hidden="1"/>
    </xf>
    <xf numFmtId="0" fontId="3" fillId="0" borderId="0" xfId="0" applyFont="1" applyAlignment="1" applyProtection="1">
      <alignment vertical="center"/>
      <protection hidden="1"/>
    </xf>
    <xf numFmtId="0" fontId="3" fillId="4" borderId="38" xfId="0" applyFont="1" applyFill="1" applyBorder="1" applyAlignment="1" applyProtection="1">
      <alignment horizontal="center" vertical="center"/>
      <protection hidden="1"/>
    </xf>
    <xf numFmtId="167" fontId="3" fillId="0" borderId="16" xfId="0" applyNumberFormat="1" applyFont="1" applyBorder="1" applyAlignment="1" applyProtection="1">
      <alignment horizontal="center" vertical="center"/>
      <protection hidden="1"/>
    </xf>
    <xf numFmtId="167" fontId="3" fillId="0" borderId="5" xfId="0" applyNumberFormat="1" applyFont="1" applyBorder="1" applyAlignment="1" applyProtection="1">
      <alignment horizontal="left" vertical="center"/>
      <protection hidden="1"/>
    </xf>
    <xf numFmtId="0" fontId="3" fillId="2" borderId="5" xfId="0" applyFont="1" applyFill="1" applyBorder="1" applyAlignment="1" applyProtection="1">
      <alignment horizontal="center" vertical="center"/>
      <protection hidden="1"/>
    </xf>
    <xf numFmtId="0" fontId="5" fillId="2" borderId="5" xfId="0" applyFont="1" applyFill="1" applyBorder="1" applyAlignment="1" applyProtection="1">
      <alignment horizontal="center" vertical="center"/>
      <protection hidden="1"/>
    </xf>
    <xf numFmtId="167" fontId="3" fillId="0" borderId="6" xfId="0" applyNumberFormat="1" applyFont="1" applyBorder="1" applyAlignment="1" applyProtection="1">
      <alignment horizontal="left" vertical="center"/>
      <protection hidden="1"/>
    </xf>
    <xf numFmtId="167" fontId="3" fillId="0" borderId="70" xfId="0" applyNumberFormat="1" applyFont="1" applyBorder="1" applyAlignment="1" applyProtection="1">
      <alignment horizontal="left" vertical="center"/>
      <protection hidden="1"/>
    </xf>
    <xf numFmtId="0" fontId="3" fillId="2" borderId="5" xfId="0" quotePrefix="1" applyFont="1" applyFill="1" applyBorder="1" applyAlignment="1" applyProtection="1">
      <alignment horizontal="center" vertical="center"/>
      <protection hidden="1"/>
    </xf>
    <xf numFmtId="0" fontId="3" fillId="0" borderId="0" xfId="0" applyFont="1" applyAlignment="1" applyProtection="1">
      <alignment horizontal="center" vertical="center"/>
      <protection hidden="1"/>
    </xf>
    <xf numFmtId="167" fontId="3" fillId="0" borderId="20" xfId="0" applyNumberFormat="1" applyFont="1" applyBorder="1" applyAlignment="1" applyProtection="1">
      <alignment horizontal="center" vertical="center"/>
      <protection hidden="1"/>
    </xf>
    <xf numFmtId="0" fontId="6" fillId="0" borderId="0" xfId="0" applyFont="1" applyAlignment="1" applyProtection="1">
      <alignment horizontal="center"/>
      <protection hidden="1"/>
    </xf>
    <xf numFmtId="2" fontId="3" fillId="0" borderId="0" xfId="0" applyNumberFormat="1" applyFont="1" applyAlignment="1" applyProtection="1">
      <alignment horizontal="center"/>
      <protection hidden="1"/>
    </xf>
    <xf numFmtId="0" fontId="3" fillId="3" borderId="101" xfId="0" applyFont="1" applyFill="1" applyBorder="1" applyProtection="1">
      <protection hidden="1"/>
    </xf>
    <xf numFmtId="0" fontId="3" fillId="3" borderId="45" xfId="0" applyFont="1" applyFill="1" applyBorder="1" applyAlignment="1" applyProtection="1">
      <alignment horizontal="center"/>
      <protection hidden="1"/>
    </xf>
    <xf numFmtId="170" fontId="3" fillId="0" borderId="19" xfId="0" quotePrefix="1" applyNumberFormat="1" applyFont="1" applyBorder="1" applyAlignment="1" applyProtection="1">
      <alignment horizontal="left"/>
      <protection hidden="1"/>
    </xf>
    <xf numFmtId="0" fontId="3" fillId="3" borderId="44" xfId="0" applyFont="1" applyFill="1" applyBorder="1" applyAlignment="1" applyProtection="1">
      <protection hidden="1"/>
    </xf>
    <xf numFmtId="168" fontId="3" fillId="0" borderId="0" xfId="0" applyNumberFormat="1" applyFont="1" applyProtection="1">
      <protection hidden="1"/>
    </xf>
    <xf numFmtId="0" fontId="3" fillId="3" borderId="0" xfId="0" applyFont="1" applyFill="1" applyAlignment="1" applyProtection="1">
      <protection hidden="1"/>
    </xf>
    <xf numFmtId="0" fontId="3" fillId="3" borderId="0" xfId="0" applyFont="1" applyFill="1" applyAlignment="1" applyProtection="1">
      <alignment horizontal="center"/>
      <protection hidden="1"/>
    </xf>
    <xf numFmtId="0" fontId="6" fillId="0" borderId="21" xfId="0" applyFont="1" applyBorder="1" applyAlignment="1" applyProtection="1">
      <alignment horizontal="right"/>
      <protection hidden="1"/>
    </xf>
    <xf numFmtId="0" fontId="6" fillId="0" borderId="3" xfId="0" applyFont="1" applyBorder="1" applyAlignment="1" applyProtection="1">
      <alignment horizontal="right"/>
      <protection hidden="1"/>
    </xf>
    <xf numFmtId="168" fontId="3" fillId="0" borderId="0" xfId="0" applyNumberFormat="1" applyFont="1" applyAlignment="1" applyProtection="1">
      <alignment horizontal="left"/>
      <protection hidden="1"/>
    </xf>
    <xf numFmtId="0" fontId="4" fillId="0" borderId="63" xfId="0" applyFont="1" applyBorder="1" applyAlignment="1" applyProtection="1">
      <alignment horizontal="center"/>
      <protection hidden="1"/>
    </xf>
    <xf numFmtId="0" fontId="4" fillId="0" borderId="65" xfId="0" applyFont="1" applyBorder="1" applyAlignment="1" applyProtection="1">
      <alignment horizontal="center"/>
      <protection hidden="1"/>
    </xf>
    <xf numFmtId="0" fontId="4" fillId="0" borderId="68" xfId="0" applyFont="1" applyBorder="1" applyAlignment="1" applyProtection="1">
      <alignment horizontal="center"/>
      <protection hidden="1"/>
    </xf>
    <xf numFmtId="0" fontId="4" fillId="0" borderId="95" xfId="0" applyFont="1" applyBorder="1" applyAlignment="1" applyProtection="1">
      <alignment horizontal="center"/>
      <protection hidden="1"/>
    </xf>
    <xf numFmtId="0" fontId="6" fillId="0" borderId="64" xfId="0" applyFont="1" applyBorder="1" applyAlignment="1" applyProtection="1">
      <protection hidden="1"/>
    </xf>
    <xf numFmtId="0" fontId="6" fillId="0" borderId="66" xfId="0" applyFont="1" applyBorder="1" applyAlignment="1" applyProtection="1">
      <protection hidden="1"/>
    </xf>
    <xf numFmtId="0" fontId="3" fillId="0" borderId="29" xfId="0" applyFont="1" applyBorder="1" applyAlignment="1" applyProtection="1">
      <alignment horizontal="right" vertical="center"/>
      <protection hidden="1"/>
    </xf>
    <xf numFmtId="0" fontId="3" fillId="0" borderId="35" xfId="0" applyFont="1" applyBorder="1" applyAlignment="1" applyProtection="1">
      <alignment horizontal="right" vertical="center"/>
      <protection hidden="1"/>
    </xf>
    <xf numFmtId="0" fontId="3" fillId="0" borderId="31" xfId="0" applyFont="1" applyBorder="1" applyAlignment="1" applyProtection="1">
      <alignment horizontal="right" vertical="center"/>
      <protection hidden="1"/>
    </xf>
    <xf numFmtId="0" fontId="3" fillId="0" borderId="0" xfId="0" applyFont="1" applyFill="1" applyAlignment="1" applyProtection="1">
      <protection hidden="1"/>
    </xf>
    <xf numFmtId="0" fontId="3" fillId="0" borderId="0" xfId="0" applyFont="1" applyAlignment="1" applyProtection="1">
      <alignment horizontal="center" vertical="center" wrapText="1"/>
      <protection hidden="1"/>
    </xf>
    <xf numFmtId="0" fontId="4" fillId="3" borderId="102" xfId="0" applyFont="1" applyFill="1" applyBorder="1" applyAlignment="1" applyProtection="1">
      <alignment horizontal="center"/>
      <protection hidden="1"/>
    </xf>
    <xf numFmtId="0" fontId="3" fillId="3" borderId="103" xfId="0" applyFont="1" applyFill="1" applyBorder="1" applyAlignment="1" applyProtection="1">
      <alignment horizontal="center"/>
      <protection hidden="1"/>
    </xf>
    <xf numFmtId="0" fontId="3" fillId="3" borderId="104" xfId="0" applyFont="1" applyFill="1" applyBorder="1" applyProtection="1">
      <protection hidden="1"/>
    </xf>
    <xf numFmtId="0" fontId="3" fillId="3" borderId="105" xfId="0" applyFont="1" applyFill="1" applyBorder="1" applyProtection="1">
      <protection hidden="1"/>
    </xf>
    <xf numFmtId="0" fontId="3" fillId="3" borderId="105" xfId="0" applyFont="1" applyFill="1" applyBorder="1" applyAlignment="1" applyProtection="1">
      <alignment horizontal="left"/>
      <protection hidden="1"/>
    </xf>
    <xf numFmtId="0" fontId="3" fillId="3" borderId="105" xfId="0" applyFont="1" applyFill="1" applyBorder="1" applyAlignment="1" applyProtection="1">
      <alignment horizontal="center"/>
      <protection hidden="1"/>
    </xf>
    <xf numFmtId="0" fontId="3" fillId="0" borderId="87" xfId="0" applyFont="1" applyBorder="1" applyAlignment="1" applyProtection="1">
      <alignment horizontal="center"/>
      <protection hidden="1"/>
    </xf>
    <xf numFmtId="0" fontId="3" fillId="0" borderId="89" xfId="0" applyFont="1" applyBorder="1" applyAlignment="1" applyProtection="1">
      <alignment horizontal="center"/>
      <protection hidden="1"/>
    </xf>
    <xf numFmtId="0" fontId="3" fillId="7" borderId="106" xfId="0" applyFont="1" applyFill="1" applyBorder="1" applyAlignment="1" applyProtection="1">
      <alignment horizontal="center"/>
      <protection hidden="1"/>
    </xf>
    <xf numFmtId="0" fontId="3" fillId="7" borderId="4" xfId="0" applyFont="1" applyFill="1" applyBorder="1" applyAlignment="1" applyProtection="1">
      <alignment horizontal="center"/>
      <protection hidden="1"/>
    </xf>
    <xf numFmtId="0" fontId="3" fillId="0" borderId="0" xfId="0" quotePrefix="1" applyFont="1" applyAlignment="1" applyProtection="1">
      <protection hidden="1"/>
    </xf>
    <xf numFmtId="0" fontId="3" fillId="0" borderId="107" xfId="0" applyFont="1" applyBorder="1" applyAlignment="1">
      <alignment horizontal="center"/>
    </xf>
    <xf numFmtId="0" fontId="3" fillId="0" borderId="108" xfId="0" applyFont="1" applyBorder="1" applyAlignment="1">
      <alignment horizontal="center"/>
    </xf>
    <xf numFmtId="0" fontId="3" fillId="7" borderId="109" xfId="0" applyFont="1" applyFill="1" applyBorder="1" applyAlignment="1">
      <alignment horizontal="center"/>
    </xf>
    <xf numFmtId="0" fontId="3" fillId="0" borderId="25" xfId="0" applyFont="1" applyBorder="1" applyAlignment="1">
      <alignment horizontal="center"/>
    </xf>
    <xf numFmtId="0" fontId="6" fillId="0" borderId="39" xfId="0" applyFont="1" applyBorder="1" applyAlignment="1" applyProtection="1">
      <alignment horizontal="right"/>
      <protection hidden="1"/>
    </xf>
    <xf numFmtId="0" fontId="6" fillId="0" borderId="38" xfId="0" applyFont="1" applyBorder="1" applyAlignment="1" applyProtection="1">
      <alignment horizontal="right"/>
      <protection hidden="1"/>
    </xf>
    <xf numFmtId="0" fontId="6" fillId="0" borderId="37" xfId="0" applyFont="1" applyBorder="1" applyAlignment="1" applyProtection="1">
      <alignment horizontal="right"/>
      <protection hidden="1"/>
    </xf>
    <xf numFmtId="0" fontId="6" fillId="0" borderId="110" xfId="0" applyFont="1" applyBorder="1" applyAlignment="1" applyProtection="1">
      <alignment horizontal="right"/>
      <protection hidden="1"/>
    </xf>
    <xf numFmtId="0" fontId="5" fillId="0" borderId="111" xfId="0" applyFont="1" applyBorder="1" applyAlignment="1" applyProtection="1">
      <protection hidden="1"/>
    </xf>
    <xf numFmtId="0" fontId="10" fillId="0" borderId="111" xfId="0" applyFont="1" applyBorder="1" applyAlignment="1" applyProtection="1">
      <protection hidden="1"/>
    </xf>
    <xf numFmtId="0" fontId="6" fillId="3" borderId="0" xfId="0" applyFont="1" applyFill="1" applyProtection="1">
      <protection hidden="1"/>
    </xf>
    <xf numFmtId="0" fontId="6" fillId="0" borderId="112" xfId="0" applyFont="1" applyBorder="1" applyAlignment="1" applyProtection="1">
      <alignment horizontal="center"/>
      <protection hidden="1"/>
    </xf>
    <xf numFmtId="0" fontId="6" fillId="0" borderId="9" xfId="0" applyFont="1" applyBorder="1" applyAlignment="1" applyProtection="1">
      <alignment horizontal="center"/>
      <protection hidden="1"/>
    </xf>
    <xf numFmtId="0" fontId="6" fillId="0" borderId="113" xfId="0" applyFont="1" applyBorder="1" applyAlignment="1" applyProtection="1">
      <alignment horizontal="center"/>
      <protection hidden="1"/>
    </xf>
    <xf numFmtId="0" fontId="3" fillId="0" borderId="107" xfId="0" applyFont="1" applyBorder="1" applyAlignment="1" applyProtection="1">
      <alignment horizontal="center"/>
      <protection hidden="1"/>
    </xf>
    <xf numFmtId="0" fontId="3" fillId="0" borderId="108" xfId="0" applyFont="1" applyBorder="1" applyAlignment="1" applyProtection="1">
      <alignment horizontal="center"/>
      <protection hidden="1"/>
    </xf>
    <xf numFmtId="0" fontId="3" fillId="7" borderId="109" xfId="0" applyFont="1" applyFill="1" applyBorder="1" applyAlignment="1" applyProtection="1">
      <alignment horizontal="center"/>
      <protection hidden="1"/>
    </xf>
    <xf numFmtId="0" fontId="3" fillId="3" borderId="0" xfId="0" applyFont="1" applyFill="1" applyBorder="1" applyAlignment="1" applyProtection="1">
      <alignment horizontal="center"/>
      <protection hidden="1"/>
    </xf>
    <xf numFmtId="0" fontId="6" fillId="0" borderId="114" xfId="0" applyFont="1" applyBorder="1" applyAlignment="1" applyProtection="1">
      <alignment horizontal="center"/>
      <protection hidden="1"/>
    </xf>
    <xf numFmtId="0" fontId="3" fillId="0" borderId="39" xfId="0" applyFont="1" applyBorder="1" applyAlignment="1" applyProtection="1">
      <alignment horizontal="center"/>
      <protection hidden="1"/>
    </xf>
    <xf numFmtId="0" fontId="3" fillId="0" borderId="38" xfId="0" applyFont="1" applyBorder="1" applyAlignment="1" applyProtection="1">
      <alignment horizontal="center"/>
      <protection hidden="1"/>
    </xf>
    <xf numFmtId="0" fontId="3" fillId="0" borderId="37" xfId="0" applyFont="1" applyBorder="1" applyAlignment="1" applyProtection="1">
      <alignment horizontal="center"/>
      <protection hidden="1"/>
    </xf>
    <xf numFmtId="0" fontId="3" fillId="0" borderId="33" xfId="0" applyFont="1" applyBorder="1" applyProtection="1">
      <protection hidden="1"/>
    </xf>
    <xf numFmtId="0" fontId="3" fillId="0" borderId="115" xfId="0" applyFont="1" applyBorder="1" applyProtection="1">
      <protection hidden="1"/>
    </xf>
    <xf numFmtId="2" fontId="3" fillId="0" borderId="95" xfId="0" applyNumberFormat="1" applyFont="1" applyBorder="1" applyProtection="1">
      <protection hidden="1"/>
    </xf>
    <xf numFmtId="2" fontId="3" fillId="0" borderId="116" xfId="0" applyNumberFormat="1" applyFont="1" applyBorder="1" applyProtection="1">
      <protection hidden="1"/>
    </xf>
    <xf numFmtId="165" fontId="3" fillId="0" borderId="95" xfId="0" applyNumberFormat="1" applyFont="1" applyBorder="1" applyProtection="1">
      <protection hidden="1"/>
    </xf>
    <xf numFmtId="165" fontId="3" fillId="0" borderId="116" xfId="0" applyNumberFormat="1" applyFont="1" applyBorder="1" applyProtection="1">
      <protection hidden="1"/>
    </xf>
    <xf numFmtId="169" fontId="3" fillId="0" borderId="38" xfId="0" applyNumberFormat="1" applyFont="1" applyBorder="1" applyAlignment="1" applyProtection="1">
      <alignment horizontal="center"/>
      <protection hidden="1"/>
    </xf>
    <xf numFmtId="169" fontId="3" fillId="0" borderId="40" xfId="0" applyNumberFormat="1" applyFont="1" applyBorder="1" applyAlignment="1" applyProtection="1">
      <alignment horizontal="center"/>
      <protection hidden="1"/>
    </xf>
    <xf numFmtId="169" fontId="3" fillId="0" borderId="37" xfId="0" applyNumberFormat="1" applyFont="1" applyBorder="1" applyAlignment="1" applyProtection="1">
      <alignment horizontal="center"/>
      <protection hidden="1"/>
    </xf>
    <xf numFmtId="167" fontId="3" fillId="0" borderId="82" xfId="0" applyNumberFormat="1" applyFont="1" applyBorder="1" applyProtection="1">
      <protection hidden="1"/>
    </xf>
    <xf numFmtId="0" fontId="6" fillId="0" borderId="117" xfId="0" applyFont="1" applyBorder="1" applyAlignment="1" applyProtection="1">
      <alignment horizontal="center"/>
      <protection hidden="1"/>
    </xf>
    <xf numFmtId="0" fontId="3" fillId="0" borderId="34" xfId="0" applyFont="1" applyBorder="1" applyProtection="1">
      <protection hidden="1"/>
    </xf>
    <xf numFmtId="0" fontId="3" fillId="3" borderId="118" xfId="0" applyFont="1" applyFill="1" applyBorder="1" applyProtection="1">
      <protection hidden="1"/>
    </xf>
    <xf numFmtId="0" fontId="3" fillId="3" borderId="119" xfId="0" applyFont="1" applyFill="1" applyBorder="1" applyProtection="1">
      <protection hidden="1"/>
    </xf>
    <xf numFmtId="0" fontId="3" fillId="3" borderId="120" xfId="0" applyFont="1" applyFill="1" applyBorder="1" applyAlignment="1" applyProtection="1">
      <alignment horizontal="center"/>
      <protection hidden="1"/>
    </xf>
    <xf numFmtId="0" fontId="3" fillId="0" borderId="121" xfId="0" applyFont="1" applyBorder="1" applyProtection="1">
      <protection hidden="1"/>
    </xf>
    <xf numFmtId="0" fontId="3" fillId="0" borderId="122" xfId="0" applyFont="1" applyBorder="1" applyProtection="1">
      <protection hidden="1"/>
    </xf>
    <xf numFmtId="0" fontId="3" fillId="0" borderId="64" xfId="0" applyFont="1" applyBorder="1" applyProtection="1">
      <protection hidden="1"/>
    </xf>
    <xf numFmtId="0" fontId="3" fillId="0" borderId="65" xfId="0" applyFont="1" applyBorder="1" applyProtection="1">
      <protection hidden="1"/>
    </xf>
    <xf numFmtId="0" fontId="3" fillId="0" borderId="66" xfId="0" applyFont="1" applyBorder="1" applyProtection="1">
      <protection hidden="1"/>
    </xf>
    <xf numFmtId="0" fontId="3" fillId="0" borderId="123" xfId="0" applyFont="1" applyBorder="1" applyAlignment="1" applyProtection="1">
      <alignment horizontal="center"/>
      <protection hidden="1"/>
    </xf>
    <xf numFmtId="0" fontId="3" fillId="0" borderId="11" xfId="0" applyFont="1" applyBorder="1" applyAlignment="1" applyProtection="1">
      <alignment horizontal="right"/>
      <protection hidden="1"/>
    </xf>
    <xf numFmtId="0" fontId="6" fillId="0" borderId="124" xfId="0" applyFont="1" applyBorder="1" applyAlignment="1" applyProtection="1">
      <alignment horizontal="right"/>
      <protection hidden="1"/>
    </xf>
    <xf numFmtId="0" fontId="3" fillId="0" borderId="124" xfId="0" applyFont="1" applyBorder="1" applyAlignment="1" applyProtection="1">
      <alignment horizontal="left"/>
      <protection hidden="1"/>
    </xf>
    <xf numFmtId="0" fontId="3" fillId="0" borderId="125" xfId="0" applyFont="1" applyBorder="1" applyAlignment="1" applyProtection="1">
      <alignment horizontal="center"/>
      <protection hidden="1"/>
    </xf>
    <xf numFmtId="0" fontId="3" fillId="0" borderId="68" xfId="0" applyFont="1" applyBorder="1" applyProtection="1">
      <protection hidden="1"/>
    </xf>
    <xf numFmtId="1" fontId="3" fillId="0" borderId="5" xfId="0" applyNumberFormat="1" applyFont="1" applyBorder="1" applyAlignment="1" applyProtection="1">
      <alignment horizontal="center"/>
      <protection hidden="1"/>
    </xf>
    <xf numFmtId="1" fontId="3" fillId="0" borderId="24" xfId="0" applyNumberFormat="1" applyFont="1" applyBorder="1" applyAlignment="1" applyProtection="1">
      <alignment horizontal="center"/>
      <protection hidden="1"/>
    </xf>
    <xf numFmtId="1" fontId="3" fillId="0" borderId="0" xfId="0" applyNumberFormat="1" applyFont="1" applyProtection="1">
      <protection hidden="1"/>
    </xf>
    <xf numFmtId="1" fontId="3" fillId="0" borderId="100" xfId="0" quotePrefix="1" applyNumberFormat="1" applyFont="1" applyBorder="1" applyAlignment="1" applyProtection="1">
      <alignment horizontal="left"/>
      <protection hidden="1"/>
    </xf>
    <xf numFmtId="1" fontId="3" fillId="0" borderId="0" xfId="0" quotePrefix="1" applyNumberFormat="1" applyFont="1" applyAlignment="1" applyProtection="1">
      <alignment horizontal="left"/>
      <protection hidden="1"/>
    </xf>
    <xf numFmtId="1" fontId="3" fillId="0" borderId="0" xfId="0" applyNumberFormat="1" applyFont="1" applyAlignment="1" applyProtection="1">
      <alignment horizontal="center" vertical="center" wrapText="1"/>
      <protection hidden="1"/>
    </xf>
    <xf numFmtId="0" fontId="3" fillId="3" borderId="86" xfId="0" applyFont="1" applyFill="1" applyBorder="1" applyAlignment="1" applyProtection="1">
      <protection hidden="1"/>
    </xf>
    <xf numFmtId="0" fontId="3" fillId="3" borderId="91" xfId="0" applyFont="1" applyFill="1" applyBorder="1" applyAlignment="1" applyProtection="1">
      <protection hidden="1"/>
    </xf>
    <xf numFmtId="0" fontId="3" fillId="3" borderId="83" xfId="0" applyFont="1" applyFill="1" applyBorder="1" applyAlignment="1" applyProtection="1">
      <protection hidden="1"/>
    </xf>
    <xf numFmtId="0" fontId="3" fillId="2" borderId="110" xfId="0" applyFont="1" applyFill="1" applyBorder="1" applyAlignment="1" applyProtection="1">
      <alignment horizontal="center"/>
      <protection hidden="1"/>
    </xf>
    <xf numFmtId="0" fontId="3" fillId="0" borderId="91" xfId="0" applyFont="1" applyBorder="1" applyAlignment="1" applyProtection="1">
      <protection hidden="1"/>
    </xf>
    <xf numFmtId="0" fontId="3" fillId="0" borderId="119" xfId="0" applyFont="1" applyBorder="1" applyAlignment="1" applyProtection="1">
      <protection hidden="1"/>
    </xf>
    <xf numFmtId="0" fontId="3" fillId="0" borderId="126" xfId="0" applyFont="1" applyBorder="1" applyAlignment="1" applyProtection="1">
      <alignment horizontal="center"/>
      <protection hidden="1"/>
    </xf>
    <xf numFmtId="0" fontId="3" fillId="0" borderId="40" xfId="0" applyNumberFormat="1" applyFont="1" applyBorder="1" applyAlignment="1" applyProtection="1">
      <alignment horizontal="center"/>
      <protection hidden="1"/>
    </xf>
    <xf numFmtId="0" fontId="3" fillId="0" borderId="83" xfId="0" applyNumberFormat="1" applyFont="1" applyBorder="1" applyAlignment="1" applyProtection="1">
      <alignment horizontal="center"/>
      <protection hidden="1"/>
    </xf>
    <xf numFmtId="168" fontId="3" fillId="0" borderId="40" xfId="0" applyNumberFormat="1" applyFont="1" applyBorder="1" applyAlignment="1" applyProtection="1">
      <alignment horizontal="center"/>
      <protection hidden="1"/>
    </xf>
    <xf numFmtId="168" fontId="3" fillId="0" borderId="83" xfId="0" applyNumberFormat="1" applyFont="1" applyBorder="1" applyAlignment="1" applyProtection="1">
      <alignment horizontal="center"/>
      <protection hidden="1"/>
    </xf>
    <xf numFmtId="0" fontId="3" fillId="2" borderId="127" xfId="0" applyFont="1" applyFill="1" applyBorder="1" applyAlignment="1" applyProtection="1">
      <alignment horizontal="center"/>
      <protection hidden="1"/>
    </xf>
    <xf numFmtId="170" fontId="3" fillId="4" borderId="58" xfId="0" applyNumberFormat="1" applyFont="1" applyFill="1" applyBorder="1" applyAlignment="1" applyProtection="1">
      <alignment horizontal="center"/>
      <protection hidden="1"/>
    </xf>
    <xf numFmtId="170" fontId="3" fillId="4" borderId="36" xfId="0" applyNumberFormat="1" applyFont="1" applyFill="1" applyBorder="1" applyAlignment="1" applyProtection="1">
      <alignment horizontal="center"/>
      <protection hidden="1"/>
    </xf>
    <xf numFmtId="170" fontId="3" fillId="4" borderId="34" xfId="0" applyNumberFormat="1" applyFont="1" applyFill="1" applyBorder="1" applyAlignment="1" applyProtection="1">
      <alignment horizontal="center"/>
      <protection hidden="1"/>
    </xf>
    <xf numFmtId="170" fontId="3" fillId="4" borderId="72" xfId="0" applyNumberFormat="1" applyFont="1" applyFill="1" applyBorder="1" applyAlignment="1" applyProtection="1">
      <alignment horizontal="center"/>
      <protection hidden="1"/>
    </xf>
    <xf numFmtId="170" fontId="3" fillId="4" borderId="43" xfId="0" applyNumberFormat="1" applyFont="1" applyFill="1" applyBorder="1" applyAlignment="1" applyProtection="1">
      <alignment horizontal="center"/>
      <protection hidden="1"/>
    </xf>
    <xf numFmtId="169" fontId="3" fillId="0" borderId="40" xfId="0" applyNumberFormat="1" applyFont="1" applyBorder="1" applyProtection="1">
      <protection hidden="1"/>
    </xf>
    <xf numFmtId="169" fontId="3" fillId="0" borderId="83" xfId="0" applyNumberFormat="1" applyFont="1" applyBorder="1" applyProtection="1">
      <protection hidden="1"/>
    </xf>
    <xf numFmtId="169" fontId="3" fillId="0" borderId="39" xfId="0" quotePrefix="1" applyNumberFormat="1" applyFont="1" applyBorder="1" applyAlignment="1" applyProtection="1">
      <alignment horizontal="right"/>
      <protection hidden="1"/>
    </xf>
    <xf numFmtId="169" fontId="3" fillId="0" borderId="38" xfId="0" applyNumberFormat="1" applyFont="1" applyBorder="1" applyAlignment="1" applyProtection="1">
      <alignment horizontal="right"/>
      <protection hidden="1"/>
    </xf>
    <xf numFmtId="169" fontId="3" fillId="0" borderId="40" xfId="0" applyNumberFormat="1" applyFont="1" applyBorder="1" applyAlignment="1" applyProtection="1">
      <alignment horizontal="right"/>
      <protection hidden="1"/>
    </xf>
    <xf numFmtId="169" fontId="3" fillId="0" borderId="37" xfId="0" applyNumberFormat="1" applyFont="1" applyBorder="1" applyAlignment="1" applyProtection="1">
      <alignment horizontal="right"/>
      <protection hidden="1"/>
    </xf>
    <xf numFmtId="0" fontId="23" fillId="0" borderId="0" xfId="0" applyFont="1" applyProtection="1">
      <protection hidden="1"/>
    </xf>
    <xf numFmtId="0" fontId="23" fillId="0" borderId="0" xfId="0" applyFont="1" applyAlignment="1" applyProtection="1">
      <alignment horizontal="right"/>
      <protection hidden="1"/>
    </xf>
    <xf numFmtId="0" fontId="4" fillId="0" borderId="0" xfId="0" applyFont="1"/>
    <xf numFmtId="0" fontId="3" fillId="0" borderId="0" xfId="0" applyFont="1"/>
    <xf numFmtId="0" fontId="6" fillId="2" borderId="128" xfId="0" applyFont="1" applyFill="1" applyBorder="1" applyAlignment="1" applyProtection="1">
      <alignment horizontal="center" textRotation="90"/>
      <protection hidden="1"/>
    </xf>
    <xf numFmtId="0" fontId="3" fillId="0" borderId="84" xfId="0" applyFont="1" applyBorder="1" applyAlignment="1" applyProtection="1">
      <alignment horizontal="center"/>
      <protection hidden="1"/>
    </xf>
    <xf numFmtId="0" fontId="3" fillId="0" borderId="129" xfId="0" applyFont="1" applyBorder="1" applyAlignment="1" applyProtection="1">
      <alignment horizontal="center"/>
      <protection hidden="1"/>
    </xf>
    <xf numFmtId="0" fontId="3" fillId="0" borderId="130" xfId="0" applyFont="1" applyBorder="1" applyAlignment="1" applyProtection="1">
      <alignment horizontal="center"/>
      <protection hidden="1"/>
    </xf>
    <xf numFmtId="0" fontId="3" fillId="0" borderId="47" xfId="0" applyFont="1" applyBorder="1" applyAlignment="1" applyProtection="1">
      <alignment horizontal="center"/>
      <protection hidden="1"/>
    </xf>
    <xf numFmtId="0" fontId="3" fillId="0" borderId="0" xfId="0" applyFont="1" applyFill="1" applyProtection="1">
      <protection hidden="1"/>
    </xf>
    <xf numFmtId="0" fontId="3" fillId="0" borderId="131" xfId="0" applyFont="1" applyBorder="1" applyAlignment="1" applyProtection="1">
      <alignment horizontal="center"/>
      <protection hidden="1"/>
    </xf>
    <xf numFmtId="0" fontId="3" fillId="0" borderId="41" xfId="0" applyFont="1" applyBorder="1" applyAlignment="1" applyProtection="1">
      <protection hidden="1"/>
    </xf>
    <xf numFmtId="0" fontId="3" fillId="0" borderId="62" xfId="0" applyFont="1" applyBorder="1" applyAlignment="1" applyProtection="1">
      <alignment horizontal="center"/>
      <protection hidden="1"/>
    </xf>
    <xf numFmtId="0" fontId="3" fillId="0" borderId="26" xfId="0" applyFont="1" applyBorder="1" applyAlignment="1" applyProtection="1">
      <alignment horizontal="center"/>
      <protection hidden="1"/>
    </xf>
    <xf numFmtId="0" fontId="3" fillId="0" borderId="64" xfId="0" applyFont="1" applyBorder="1" applyAlignment="1" applyProtection="1">
      <alignment horizontal="center"/>
      <protection hidden="1"/>
    </xf>
    <xf numFmtId="0" fontId="3" fillId="0" borderId="66" xfId="0" applyFont="1" applyBorder="1" applyAlignment="1" applyProtection="1">
      <alignment horizontal="center"/>
      <protection hidden="1"/>
    </xf>
    <xf numFmtId="0" fontId="3" fillId="0" borderId="24" xfId="0" applyFont="1" applyBorder="1" applyAlignment="1" applyProtection="1">
      <alignment horizontal="center"/>
      <protection hidden="1"/>
    </xf>
    <xf numFmtId="0" fontId="6" fillId="0" borderId="132" xfId="0" applyFont="1" applyBorder="1" applyAlignment="1" applyProtection="1">
      <protection hidden="1"/>
    </xf>
    <xf numFmtId="0" fontId="3" fillId="0" borderId="133" xfId="0" applyFont="1" applyBorder="1" applyAlignment="1" applyProtection="1">
      <alignment horizontal="center"/>
      <protection hidden="1"/>
    </xf>
    <xf numFmtId="0" fontId="3" fillId="0" borderId="134" xfId="0" applyFont="1" applyBorder="1" applyAlignment="1" applyProtection="1">
      <alignment horizontal="center"/>
      <protection hidden="1"/>
    </xf>
    <xf numFmtId="0" fontId="4" fillId="0" borderId="134" xfId="0" applyFont="1" applyBorder="1" applyAlignment="1" applyProtection="1">
      <alignment horizontal="center"/>
      <protection hidden="1"/>
    </xf>
    <xf numFmtId="0" fontId="10" fillId="0" borderId="135" xfId="0" applyFont="1" applyBorder="1" applyAlignment="1" applyProtection="1">
      <alignment horizontal="center"/>
      <protection hidden="1"/>
    </xf>
    <xf numFmtId="0" fontId="6" fillId="0" borderId="12" xfId="0" applyFont="1" applyBorder="1" applyAlignment="1" applyProtection="1">
      <protection hidden="1"/>
    </xf>
    <xf numFmtId="0" fontId="4" fillId="0" borderId="136" xfId="0" applyFont="1" applyBorder="1" applyAlignment="1" applyProtection="1">
      <alignment horizontal="center"/>
      <protection hidden="1"/>
    </xf>
    <xf numFmtId="0" fontId="10" fillId="0" borderId="127" xfId="0" applyFont="1" applyBorder="1" applyAlignment="1" applyProtection="1">
      <alignment horizontal="center"/>
      <protection hidden="1"/>
    </xf>
    <xf numFmtId="0" fontId="3" fillId="0" borderId="2" xfId="0" quotePrefix="1" applyFont="1" applyBorder="1" applyAlignment="1" applyProtection="1">
      <alignment horizontal="center"/>
      <protection hidden="1"/>
    </xf>
    <xf numFmtId="0" fontId="3" fillId="0" borderId="8" xfId="0" applyFont="1" applyBorder="1" applyAlignment="1" applyProtection="1">
      <alignment horizontal="center"/>
      <protection locked="0"/>
    </xf>
    <xf numFmtId="0" fontId="3" fillId="0" borderId="9" xfId="0" applyFont="1" applyBorder="1" applyAlignment="1" applyProtection="1">
      <alignment horizontal="center"/>
      <protection locked="0"/>
    </xf>
    <xf numFmtId="0" fontId="3" fillId="0" borderId="136" xfId="0" applyFont="1" applyBorder="1" applyAlignment="1" applyProtection="1">
      <alignment horizontal="center"/>
      <protection locked="0"/>
    </xf>
    <xf numFmtId="0" fontId="3" fillId="0" borderId="0" xfId="0" applyFont="1" applyAlignment="1">
      <alignment horizontal="center"/>
    </xf>
    <xf numFmtId="0" fontId="26" fillId="0" borderId="110" xfId="0" applyFont="1" applyBorder="1" applyAlignment="1" applyProtection="1">
      <alignment horizontal="center"/>
    </xf>
    <xf numFmtId="0" fontId="26" fillId="3" borderId="110" xfId="0" applyFont="1" applyFill="1" applyBorder="1" applyAlignment="1" applyProtection="1">
      <alignment horizontal="center"/>
    </xf>
    <xf numFmtId="0" fontId="26" fillId="0" borderId="137" xfId="0" applyFont="1" applyBorder="1" applyAlignment="1" applyProtection="1">
      <alignment horizontal="center"/>
      <protection hidden="1"/>
    </xf>
    <xf numFmtId="0" fontId="26" fillId="0" borderId="138" xfId="0" applyFont="1" applyBorder="1" applyAlignment="1" applyProtection="1">
      <alignment horizontal="center"/>
      <protection hidden="1"/>
    </xf>
    <xf numFmtId="0" fontId="26" fillId="0" borderId="139" xfId="0" applyFont="1" applyBorder="1" applyAlignment="1" applyProtection="1">
      <alignment horizontal="center"/>
      <protection hidden="1"/>
    </xf>
    <xf numFmtId="0" fontId="26" fillId="0" borderId="137" xfId="0" applyFont="1" applyBorder="1" applyAlignment="1" applyProtection="1">
      <alignment horizontal="left"/>
      <protection hidden="1"/>
    </xf>
    <xf numFmtId="0" fontId="3" fillId="0" borderId="0" xfId="0" applyFont="1" applyAlignment="1" applyProtection="1">
      <alignment horizontal="center" wrapText="1"/>
      <protection hidden="1"/>
    </xf>
    <xf numFmtId="0" fontId="3" fillId="0" borderId="0" xfId="0" applyFont="1" applyBorder="1" applyAlignment="1" applyProtection="1">
      <protection hidden="1"/>
    </xf>
    <xf numFmtId="0" fontId="3" fillId="3" borderId="0" xfId="0" applyFont="1" applyFill="1"/>
    <xf numFmtId="0" fontId="3" fillId="0" borderId="43" xfId="0" applyFont="1" applyBorder="1"/>
    <xf numFmtId="0" fontId="3" fillId="0" borderId="5" xfId="0" applyFont="1" applyBorder="1"/>
    <xf numFmtId="0" fontId="3" fillId="0" borderId="17" xfId="0" applyFont="1" applyBorder="1"/>
    <xf numFmtId="0" fontId="3" fillId="4" borderId="26" xfId="0" applyFont="1" applyFill="1" applyBorder="1" applyAlignment="1" applyProtection="1">
      <alignment horizontal="center"/>
      <protection hidden="1"/>
    </xf>
    <xf numFmtId="0" fontId="3" fillId="4" borderId="70" xfId="0" applyFont="1" applyFill="1" applyBorder="1" applyAlignment="1" applyProtection="1">
      <alignment horizontal="center"/>
      <protection hidden="1"/>
    </xf>
    <xf numFmtId="0" fontId="3" fillId="4" borderId="24" xfId="0" applyFont="1" applyFill="1" applyBorder="1" applyAlignment="1" applyProtection="1">
      <alignment horizontal="center"/>
      <protection hidden="1"/>
    </xf>
    <xf numFmtId="0" fontId="3" fillId="4" borderId="6" xfId="0" applyFont="1" applyFill="1" applyBorder="1" applyAlignment="1" applyProtection="1">
      <alignment horizontal="center"/>
      <protection hidden="1"/>
    </xf>
    <xf numFmtId="0" fontId="3" fillId="2" borderId="10" xfId="0" applyFont="1" applyFill="1" applyBorder="1" applyAlignment="1" applyProtection="1">
      <alignment horizontal="center"/>
      <protection hidden="1"/>
    </xf>
    <xf numFmtId="0" fontId="6" fillId="2" borderId="7" xfId="0" applyFont="1" applyFill="1" applyBorder="1" applyAlignment="1" applyProtection="1">
      <protection hidden="1"/>
    </xf>
    <xf numFmtId="0" fontId="3" fillId="0" borderId="26" xfId="0" applyFont="1" applyBorder="1"/>
    <xf numFmtId="0" fontId="3" fillId="0" borderId="63" xfId="0" applyFont="1" applyBorder="1"/>
    <xf numFmtId="0" fontId="3" fillId="0" borderId="65" xfId="0" applyFont="1" applyBorder="1"/>
    <xf numFmtId="0" fontId="3" fillId="0" borderId="24" xfId="0" applyFont="1" applyBorder="1"/>
    <xf numFmtId="0" fontId="3" fillId="0" borderId="68" xfId="0" applyFont="1" applyBorder="1"/>
    <xf numFmtId="0" fontId="3" fillId="4" borderId="33" xfId="0" applyFont="1" applyFill="1" applyBorder="1" applyAlignment="1" applyProtection="1">
      <alignment horizontal="center"/>
      <protection hidden="1"/>
    </xf>
    <xf numFmtId="0" fontId="3" fillId="4" borderId="35" xfId="0" applyFont="1" applyFill="1" applyBorder="1" applyAlignment="1" applyProtection="1">
      <alignment horizontal="center"/>
      <protection hidden="1"/>
    </xf>
    <xf numFmtId="0" fontId="3" fillId="4" borderId="140" xfId="0" applyFont="1" applyFill="1" applyBorder="1" applyAlignment="1" applyProtection="1">
      <alignment horizontal="center"/>
      <protection hidden="1"/>
    </xf>
    <xf numFmtId="0" fontId="3" fillId="4" borderId="44" xfId="0" applyFont="1" applyFill="1" applyBorder="1" applyAlignment="1" applyProtection="1">
      <alignment horizontal="center"/>
      <protection hidden="1"/>
    </xf>
    <xf numFmtId="0" fontId="3" fillId="0" borderId="17" xfId="0" applyFont="1" applyBorder="1" applyAlignment="1">
      <alignment horizontal="center"/>
    </xf>
    <xf numFmtId="0" fontId="29" fillId="0" borderId="0" xfId="0" applyFont="1" applyAlignment="1" applyProtection="1">
      <alignment horizontal="center"/>
      <protection hidden="1"/>
    </xf>
    <xf numFmtId="0" fontId="3" fillId="0" borderId="26" xfId="0" applyFont="1" applyBorder="1" applyAlignment="1" applyProtection="1">
      <protection hidden="1"/>
    </xf>
    <xf numFmtId="0" fontId="3" fillId="0" borderId="80" xfId="0" applyFont="1" applyBorder="1"/>
    <xf numFmtId="165" fontId="3" fillId="0" borderId="66" xfId="0" applyNumberFormat="1" applyFont="1" applyBorder="1" applyAlignment="1" applyProtection="1">
      <protection hidden="1"/>
    </xf>
    <xf numFmtId="0" fontId="3" fillId="0" borderId="123" xfId="0" applyFont="1" applyBorder="1"/>
    <xf numFmtId="0" fontId="3" fillId="0" borderId="80" xfId="0" applyFont="1" applyBorder="1" applyAlignment="1">
      <alignment horizontal="center"/>
    </xf>
    <xf numFmtId="0" fontId="3" fillId="0" borderId="123" xfId="0" applyFont="1" applyBorder="1" applyAlignment="1">
      <alignment horizontal="center"/>
    </xf>
    <xf numFmtId="0" fontId="3" fillId="0" borderId="6" xfId="0" applyFont="1" applyBorder="1"/>
    <xf numFmtId="0" fontId="3" fillId="0" borderId="27" xfId="0" applyFont="1" applyBorder="1"/>
    <xf numFmtId="0" fontId="3" fillId="0" borderId="27" xfId="0" applyFont="1" applyBorder="1" applyAlignment="1">
      <alignment horizontal="center"/>
    </xf>
    <xf numFmtId="165" fontId="3" fillId="0" borderId="141" xfId="0" applyNumberFormat="1" applyFont="1" applyBorder="1" applyAlignment="1" applyProtection="1">
      <protection hidden="1"/>
    </xf>
    <xf numFmtId="0" fontId="3" fillId="0" borderId="70" xfId="0" applyFont="1" applyBorder="1" applyAlignment="1" applyProtection="1">
      <protection hidden="1"/>
    </xf>
    <xf numFmtId="0" fontId="3" fillId="0" borderId="70" xfId="0" applyFont="1" applyBorder="1"/>
    <xf numFmtId="0" fontId="3" fillId="0" borderId="142" xfId="0" applyFont="1" applyBorder="1"/>
    <xf numFmtId="0" fontId="3" fillId="0" borderId="142" xfId="0" applyFont="1" applyBorder="1" applyAlignment="1">
      <alignment horizontal="center"/>
    </xf>
    <xf numFmtId="0" fontId="3" fillId="0" borderId="52" xfId="0" applyFont="1" applyBorder="1" applyAlignment="1" applyProtection="1">
      <protection hidden="1"/>
    </xf>
    <xf numFmtId="0" fontId="3" fillId="0" borderId="53" xfId="0" applyFont="1" applyBorder="1" applyAlignment="1" applyProtection="1">
      <protection hidden="1"/>
    </xf>
    <xf numFmtId="0" fontId="3" fillId="0" borderId="55" xfId="0" applyFont="1" applyBorder="1" applyAlignment="1" applyProtection="1">
      <protection hidden="1"/>
    </xf>
    <xf numFmtId="165" fontId="3" fillId="0" borderId="37" xfId="0" applyNumberFormat="1" applyFont="1" applyBorder="1" applyAlignment="1" applyProtection="1">
      <protection hidden="1"/>
    </xf>
    <xf numFmtId="0" fontId="23" fillId="0" borderId="0" xfId="0" applyFont="1" applyFill="1" applyBorder="1" applyAlignment="1" applyProtection="1">
      <alignment horizontal="right"/>
      <protection hidden="1"/>
    </xf>
    <xf numFmtId="0" fontId="27" fillId="0" borderId="0" xfId="0" applyFont="1" applyProtection="1">
      <protection hidden="1"/>
    </xf>
    <xf numFmtId="0" fontId="24" fillId="0" borderId="0" xfId="0" applyFont="1" applyBorder="1" applyAlignment="1" applyProtection="1">
      <alignment horizontal="center"/>
      <protection hidden="1"/>
    </xf>
    <xf numFmtId="0" fontId="24" fillId="0" borderId="0" xfId="0" applyFont="1" applyBorder="1" applyAlignment="1" applyProtection="1">
      <alignment horizontal="center"/>
      <protection locked="0"/>
    </xf>
    <xf numFmtId="0" fontId="27" fillId="0" borderId="12" xfId="0" applyFont="1" applyBorder="1" applyProtection="1">
      <protection hidden="1"/>
    </xf>
    <xf numFmtId="0" fontId="27" fillId="0" borderId="10" xfId="0" applyFont="1" applyBorder="1" applyAlignment="1" applyProtection="1">
      <alignment horizontal="left" indent="1"/>
      <protection hidden="1"/>
    </xf>
    <xf numFmtId="0" fontId="24" fillId="0" borderId="62" xfId="0" applyFont="1" applyBorder="1" applyAlignment="1" applyProtection="1">
      <alignment horizontal="center"/>
      <protection hidden="1"/>
    </xf>
    <xf numFmtId="0" fontId="27" fillId="0" borderId="26" xfId="0" applyFont="1" applyBorder="1" applyProtection="1">
      <protection hidden="1"/>
    </xf>
    <xf numFmtId="0" fontId="27" fillId="0" borderId="63" xfId="0" applyFont="1" applyBorder="1" applyProtection="1">
      <protection locked="0"/>
    </xf>
    <xf numFmtId="0" fontId="24" fillId="0" borderId="64" xfId="0" applyFont="1" applyBorder="1" applyAlignment="1" applyProtection="1">
      <alignment horizontal="center"/>
      <protection hidden="1"/>
    </xf>
    <xf numFmtId="0" fontId="27" fillId="0" borderId="5" xfId="0" applyFont="1" applyBorder="1" applyProtection="1">
      <protection hidden="1"/>
    </xf>
    <xf numFmtId="0" fontId="27" fillId="0" borderId="65" xfId="0" applyFont="1" applyBorder="1" applyProtection="1">
      <protection locked="0"/>
    </xf>
    <xf numFmtId="0" fontId="24" fillId="0" borderId="66" xfId="0" applyFont="1" applyBorder="1" applyAlignment="1" applyProtection="1">
      <alignment horizontal="center"/>
      <protection hidden="1"/>
    </xf>
    <xf numFmtId="0" fontId="27" fillId="0" borderId="24" xfId="0" applyFont="1" applyBorder="1" applyProtection="1">
      <protection hidden="1"/>
    </xf>
    <xf numFmtId="0" fontId="27" fillId="0" borderId="68" xfId="0" applyFont="1" applyBorder="1" applyProtection="1">
      <protection locked="0"/>
    </xf>
    <xf numFmtId="0" fontId="24" fillId="0" borderId="12" xfId="0" applyFont="1" applyBorder="1" applyAlignment="1" applyProtection="1">
      <alignment horizontal="center"/>
      <protection hidden="1"/>
    </xf>
    <xf numFmtId="0" fontId="27" fillId="0" borderId="10" xfId="0" applyFont="1" applyBorder="1" applyProtection="1">
      <protection hidden="1"/>
    </xf>
    <xf numFmtId="0" fontId="27" fillId="0" borderId="13" xfId="0" applyFont="1" applyBorder="1" applyProtection="1">
      <protection locked="0"/>
    </xf>
    <xf numFmtId="165" fontId="27" fillId="0" borderId="10" xfId="0" applyNumberFormat="1" applyFont="1" applyBorder="1" applyAlignment="1" applyProtection="1">
      <alignment horizontal="center"/>
      <protection hidden="1"/>
    </xf>
    <xf numFmtId="165" fontId="27" fillId="0" borderId="26" xfId="0" applyNumberFormat="1" applyFont="1" applyBorder="1" applyAlignment="1" applyProtection="1">
      <alignment horizontal="center"/>
      <protection hidden="1"/>
    </xf>
    <xf numFmtId="165" fontId="27" fillId="0" borderId="5" xfId="0" applyNumberFormat="1" applyFont="1" applyBorder="1" applyAlignment="1" applyProtection="1">
      <alignment horizontal="center"/>
      <protection hidden="1"/>
    </xf>
    <xf numFmtId="165" fontId="27" fillId="0" borderId="24" xfId="0" applyNumberFormat="1" applyFont="1" applyBorder="1" applyAlignment="1" applyProtection="1">
      <alignment horizontal="center"/>
      <protection hidden="1"/>
    </xf>
    <xf numFmtId="165" fontId="27" fillId="0" borderId="0" xfId="0" applyNumberFormat="1" applyFont="1" applyAlignment="1" applyProtection="1">
      <alignment horizontal="center"/>
      <protection hidden="1"/>
    </xf>
    <xf numFmtId="0" fontId="27" fillId="0" borderId="0" xfId="0" applyFont="1" applyAlignment="1" applyProtection="1">
      <alignment horizontal="center"/>
      <protection hidden="1"/>
    </xf>
    <xf numFmtId="0" fontId="3" fillId="0" borderId="0" xfId="0" applyFont="1" applyBorder="1"/>
    <xf numFmtId="0" fontId="26" fillId="0" borderId="143" xfId="0" applyFont="1" applyBorder="1" applyAlignment="1" applyProtection="1">
      <alignment horizontal="center"/>
      <protection hidden="1"/>
    </xf>
    <xf numFmtId="0" fontId="5" fillId="0" borderId="0" xfId="0" applyFont="1" applyBorder="1" applyAlignment="1" applyProtection="1">
      <alignment horizontal="center"/>
      <protection locked="0"/>
    </xf>
    <xf numFmtId="0" fontId="4" fillId="0" borderId="0" xfId="0" applyFont="1" applyFill="1" applyBorder="1" applyAlignment="1" applyProtection="1">
      <alignment horizontal="center"/>
      <protection hidden="1"/>
    </xf>
    <xf numFmtId="0" fontId="3" fillId="4" borderId="145" xfId="0" applyFont="1" applyFill="1" applyBorder="1" applyAlignment="1" applyProtection="1">
      <alignment horizontal="center" vertical="center"/>
      <protection hidden="1"/>
    </xf>
    <xf numFmtId="172" fontId="6" fillId="2" borderId="146" xfId="0" applyNumberFormat="1" applyFont="1" applyFill="1" applyBorder="1" applyAlignment="1" applyProtection="1">
      <alignment horizontal="center" vertical="center"/>
      <protection hidden="1"/>
    </xf>
    <xf numFmtId="0" fontId="3" fillId="2" borderId="134" xfId="0" applyFont="1" applyFill="1" applyBorder="1" applyAlignment="1" applyProtection="1">
      <alignment vertical="center"/>
      <protection hidden="1"/>
    </xf>
    <xf numFmtId="0" fontId="3" fillId="2" borderId="64" xfId="0" applyNumberFormat="1"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0" borderId="0" xfId="0" applyFont="1" applyAlignment="1" applyProtection="1">
      <alignment horizontal="left" vertical="center"/>
      <protection hidden="1"/>
    </xf>
    <xf numFmtId="0" fontId="4" fillId="0" borderId="0" xfId="0" applyFont="1" applyAlignment="1" applyProtection="1">
      <alignment horizontal="left"/>
      <protection hidden="1"/>
    </xf>
    <xf numFmtId="0" fontId="14" fillId="4" borderId="118" xfId="0" applyFont="1" applyFill="1" applyBorder="1" applyAlignment="1" applyProtection="1">
      <alignment horizontal="center" textRotation="90" wrapText="1"/>
      <protection hidden="1"/>
    </xf>
    <xf numFmtId="0" fontId="3" fillId="4" borderId="35" xfId="0" applyFont="1" applyFill="1" applyBorder="1" applyAlignment="1" applyProtection="1">
      <alignment horizontal="center" vertical="center"/>
      <protection hidden="1"/>
    </xf>
    <xf numFmtId="0" fontId="3" fillId="4" borderId="140" xfId="0" applyFont="1" applyFill="1" applyBorder="1" applyAlignment="1" applyProtection="1">
      <alignment horizontal="center" vertical="center"/>
      <protection hidden="1"/>
    </xf>
    <xf numFmtId="0" fontId="14" fillId="3" borderId="119" xfId="0" applyFont="1" applyFill="1" applyBorder="1" applyAlignment="1" applyProtection="1">
      <alignment horizontal="center" textRotation="90" wrapText="1"/>
      <protection hidden="1"/>
    </xf>
    <xf numFmtId="0" fontId="31" fillId="0" borderId="137" xfId="0" applyFont="1" applyBorder="1" applyAlignment="1" applyProtection="1">
      <alignment horizontal="center"/>
      <protection hidden="1"/>
    </xf>
    <xf numFmtId="0" fontId="31" fillId="0" borderId="138" xfId="0" applyFont="1" applyBorder="1" applyAlignment="1" applyProtection="1">
      <alignment horizontal="center"/>
      <protection hidden="1"/>
    </xf>
    <xf numFmtId="0" fontId="26" fillId="0" borderId="138" xfId="0" applyFont="1" applyBorder="1" applyAlignment="1" applyProtection="1">
      <alignment horizontal="left"/>
      <protection hidden="1"/>
    </xf>
    <xf numFmtId="0" fontId="31" fillId="0" borderId="139" xfId="0" applyFont="1" applyBorder="1" applyAlignment="1" applyProtection="1">
      <alignment horizontal="center"/>
      <protection hidden="1"/>
    </xf>
    <xf numFmtId="0" fontId="26" fillId="0" borderId="139" xfId="0" applyFont="1" applyBorder="1" applyAlignment="1" applyProtection="1">
      <alignment horizontal="left"/>
      <protection hidden="1"/>
    </xf>
    <xf numFmtId="0" fontId="31" fillId="0" borderId="143" xfId="0" applyFont="1" applyBorder="1" applyAlignment="1" applyProtection="1">
      <alignment horizontal="center"/>
      <protection hidden="1"/>
    </xf>
    <xf numFmtId="0" fontId="26" fillId="0" borderId="143" xfId="0" applyFont="1" applyBorder="1" applyAlignment="1" applyProtection="1">
      <alignment horizontal="left"/>
      <protection hidden="1"/>
    </xf>
    <xf numFmtId="0" fontId="3" fillId="2" borderId="65" xfId="0" applyNumberFormat="1" applyFont="1" applyFill="1" applyBorder="1" applyAlignment="1" applyProtection="1">
      <alignment horizontal="center" vertical="center"/>
      <protection hidden="1"/>
    </xf>
    <xf numFmtId="0" fontId="3" fillId="2" borderId="64" xfId="0" quotePrefix="1" applyNumberFormat="1" applyFont="1" applyFill="1" applyBorder="1" applyAlignment="1" applyProtection="1">
      <alignment horizontal="center" vertical="center"/>
      <protection hidden="1"/>
    </xf>
    <xf numFmtId="0" fontId="3" fillId="2" borderId="141" xfId="0" quotePrefix="1" applyNumberFormat="1" applyFont="1" applyFill="1" applyBorder="1" applyAlignment="1" applyProtection="1">
      <alignment horizontal="center" vertical="center"/>
      <protection hidden="1"/>
    </xf>
    <xf numFmtId="0" fontId="14" fillId="0" borderId="6" xfId="0" applyFont="1" applyBorder="1" applyAlignment="1" applyProtection="1">
      <alignment horizontal="center"/>
      <protection hidden="1"/>
    </xf>
    <xf numFmtId="0" fontId="14" fillId="0" borderId="5" xfId="0" applyFont="1" applyBorder="1" applyAlignment="1" applyProtection="1">
      <alignment horizontal="center"/>
      <protection hidden="1"/>
    </xf>
    <xf numFmtId="0" fontId="14" fillId="0" borderId="0" xfId="0" applyFont="1" applyAlignment="1" applyProtection="1">
      <alignment horizontal="center"/>
      <protection hidden="1"/>
    </xf>
    <xf numFmtId="0" fontId="15" fillId="0" borderId="0" xfId="0" applyFont="1" applyAlignment="1" applyProtection="1">
      <alignment horizontal="center"/>
      <protection hidden="1"/>
    </xf>
    <xf numFmtId="0" fontId="6" fillId="0" borderId="147" xfId="0" quotePrefix="1" applyFont="1" applyBorder="1" applyAlignment="1" applyProtection="1">
      <alignment horizontal="right"/>
      <protection hidden="1"/>
    </xf>
    <xf numFmtId="0" fontId="6" fillId="0" borderId="14" xfId="0" quotePrefix="1" applyFont="1" applyBorder="1" applyAlignment="1" applyProtection="1">
      <alignment horizontal="left"/>
      <protection hidden="1"/>
    </xf>
    <xf numFmtId="0" fontId="3" fillId="0" borderId="48" xfId="0" applyFont="1" applyBorder="1" applyProtection="1">
      <protection hidden="1"/>
    </xf>
    <xf numFmtId="0" fontId="3" fillId="0" borderId="98" xfId="0" applyFont="1" applyBorder="1" applyProtection="1">
      <protection hidden="1"/>
    </xf>
    <xf numFmtId="0" fontId="3" fillId="0" borderId="97" xfId="0" applyFont="1" applyBorder="1" applyProtection="1">
      <protection hidden="1"/>
    </xf>
    <xf numFmtId="0" fontId="28" fillId="0" borderId="147" xfId="0" applyFont="1" applyBorder="1" applyAlignment="1" applyProtection="1">
      <alignment horizontal="right"/>
      <protection hidden="1"/>
    </xf>
    <xf numFmtId="0" fontId="28" fillId="0" borderId="21" xfId="0" applyFont="1" applyBorder="1" applyAlignment="1" applyProtection="1">
      <alignment horizontal="right"/>
      <protection hidden="1"/>
    </xf>
    <xf numFmtId="0" fontId="28" fillId="0" borderId="3" xfId="0" applyFont="1" applyBorder="1" applyAlignment="1" applyProtection="1">
      <alignment horizontal="right"/>
      <protection hidden="1"/>
    </xf>
    <xf numFmtId="0" fontId="28" fillId="0" borderId="124" xfId="0" applyFont="1" applyBorder="1" applyAlignment="1" applyProtection="1">
      <alignment horizontal="right"/>
      <protection hidden="1"/>
    </xf>
    <xf numFmtId="0" fontId="3" fillId="0" borderId="0" xfId="0" quotePrefix="1" applyFont="1" applyProtection="1">
      <protection hidden="1"/>
    </xf>
    <xf numFmtId="0" fontId="4" fillId="0" borderId="118" xfId="0" applyFont="1" applyBorder="1" applyProtection="1">
      <protection hidden="1"/>
    </xf>
    <xf numFmtId="0" fontId="3" fillId="0" borderId="126" xfId="0" applyFont="1" applyBorder="1" applyProtection="1">
      <protection hidden="1"/>
    </xf>
    <xf numFmtId="0" fontId="3" fillId="0" borderId="102" xfId="0" applyFont="1" applyBorder="1" applyProtection="1">
      <protection hidden="1"/>
    </xf>
    <xf numFmtId="0" fontId="4" fillId="0" borderId="119" xfId="0" applyFont="1" applyBorder="1" applyProtection="1">
      <protection hidden="1"/>
    </xf>
    <xf numFmtId="0" fontId="3" fillId="0" borderId="41" xfId="0" applyFont="1" applyBorder="1" applyProtection="1">
      <protection hidden="1"/>
    </xf>
    <xf numFmtId="0" fontId="4" fillId="0" borderId="115" xfId="0" applyFont="1" applyBorder="1" applyProtection="1">
      <protection hidden="1"/>
    </xf>
    <xf numFmtId="0" fontId="3" fillId="0" borderId="57" xfId="0" applyFont="1" applyBorder="1" applyProtection="1">
      <protection hidden="1"/>
    </xf>
    <xf numFmtId="0" fontId="4" fillId="0" borderId="126" xfId="0" applyFont="1" applyBorder="1" applyProtection="1">
      <protection hidden="1"/>
    </xf>
    <xf numFmtId="0" fontId="4" fillId="0" borderId="0" xfId="0" applyFont="1" applyBorder="1" applyProtection="1">
      <protection hidden="1"/>
    </xf>
    <xf numFmtId="0" fontId="3" fillId="0" borderId="0" xfId="0" applyFont="1" applyBorder="1" applyAlignment="1" applyProtection="1">
      <alignment horizontal="left" vertical="center"/>
      <protection hidden="1"/>
    </xf>
    <xf numFmtId="0" fontId="3" fillId="0" borderId="41" xfId="0" applyFont="1" applyBorder="1" applyAlignment="1" applyProtection="1">
      <alignment horizontal="left" vertical="center"/>
      <protection hidden="1"/>
    </xf>
    <xf numFmtId="0" fontId="4" fillId="0" borderId="0" xfId="0" applyFont="1" applyBorder="1" applyAlignment="1" applyProtection="1">
      <alignment horizontal="right"/>
      <protection hidden="1"/>
    </xf>
    <xf numFmtId="0" fontId="3" fillId="8" borderId="45" xfId="0" applyFont="1" applyFill="1" applyBorder="1" applyAlignment="1" applyProtection="1">
      <protection hidden="1"/>
    </xf>
    <xf numFmtId="0" fontId="3" fillId="8" borderId="48" xfId="0" applyFont="1" applyFill="1" applyBorder="1" applyAlignment="1" applyProtection="1">
      <protection hidden="1"/>
    </xf>
    <xf numFmtId="0" fontId="3" fillId="8" borderId="149" xfId="0" applyFont="1" applyFill="1" applyBorder="1" applyAlignment="1" applyProtection="1">
      <protection hidden="1"/>
    </xf>
    <xf numFmtId="0" fontId="3" fillId="8" borderId="51" xfId="0" applyFont="1" applyFill="1" applyBorder="1" applyAlignment="1" applyProtection="1">
      <protection hidden="1"/>
    </xf>
    <xf numFmtId="0" fontId="3" fillId="8" borderId="150" xfId="0" applyFont="1" applyFill="1" applyBorder="1" applyAlignment="1" applyProtection="1">
      <protection hidden="1"/>
    </xf>
    <xf numFmtId="0" fontId="3" fillId="8" borderId="0" xfId="0" applyFont="1" applyFill="1" applyBorder="1" applyAlignment="1" applyProtection="1">
      <protection hidden="1"/>
    </xf>
    <xf numFmtId="0" fontId="3" fillId="8" borderId="35" xfId="0" applyFont="1" applyFill="1" applyBorder="1" applyAlignment="1" applyProtection="1">
      <protection hidden="1"/>
    </xf>
    <xf numFmtId="0" fontId="3" fillId="8" borderId="90" xfId="0" applyFont="1" applyFill="1" applyBorder="1" applyAlignment="1" applyProtection="1">
      <protection hidden="1"/>
    </xf>
    <xf numFmtId="0" fontId="3" fillId="8" borderId="98" xfId="0" applyFont="1" applyFill="1" applyBorder="1" applyAlignment="1" applyProtection="1">
      <protection hidden="1"/>
    </xf>
    <xf numFmtId="0" fontId="3" fillId="8" borderId="97" xfId="0" applyFont="1" applyFill="1" applyBorder="1" applyAlignment="1" applyProtection="1">
      <protection hidden="1"/>
    </xf>
    <xf numFmtId="0" fontId="3" fillId="8" borderId="151" xfId="0" applyFont="1" applyFill="1" applyBorder="1" applyAlignment="1" applyProtection="1">
      <protection hidden="1"/>
    </xf>
    <xf numFmtId="0" fontId="3" fillId="8" borderId="148" xfId="0" applyFont="1" applyFill="1" applyBorder="1" applyAlignment="1" applyProtection="1">
      <protection hidden="1"/>
    </xf>
    <xf numFmtId="0" fontId="3" fillId="8" borderId="152" xfId="0" applyFont="1" applyFill="1" applyBorder="1" applyAlignment="1" applyProtection="1">
      <alignment horizontal="center"/>
      <protection hidden="1"/>
    </xf>
    <xf numFmtId="0" fontId="3" fillId="8" borderId="153" xfId="0" applyFont="1" applyFill="1" applyBorder="1" applyAlignment="1" applyProtection="1">
      <alignment horizontal="center"/>
      <protection hidden="1"/>
    </xf>
    <xf numFmtId="0" fontId="3" fillId="4" borderId="39" xfId="0" applyFont="1" applyFill="1" applyBorder="1" applyAlignment="1" applyProtection="1">
      <protection hidden="1"/>
    </xf>
    <xf numFmtId="0" fontId="3" fillId="4" borderId="38" xfId="0" applyFont="1" applyFill="1" applyBorder="1" applyAlignment="1" applyProtection="1">
      <protection hidden="1"/>
    </xf>
    <xf numFmtId="0" fontId="3" fillId="4" borderId="37" xfId="0" applyFont="1" applyFill="1" applyBorder="1" applyAlignment="1" applyProtection="1">
      <protection hidden="1"/>
    </xf>
    <xf numFmtId="2" fontId="3" fillId="0" borderId="26" xfId="0" applyNumberFormat="1" applyFont="1" applyBorder="1"/>
    <xf numFmtId="0" fontId="3" fillId="0" borderId="26" xfId="0" applyNumberFormat="1" applyFont="1" applyBorder="1"/>
    <xf numFmtId="2" fontId="3" fillId="0" borderId="5" xfId="0" applyNumberFormat="1" applyFont="1" applyBorder="1"/>
    <xf numFmtId="0" fontId="31" fillId="0" borderId="137" xfId="0" applyFont="1" applyBorder="1" applyAlignment="1" applyProtection="1">
      <alignment horizontal="left"/>
      <protection hidden="1"/>
    </xf>
    <xf numFmtId="0" fontId="31" fillId="0" borderId="138" xfId="0" applyFont="1" applyBorder="1" applyAlignment="1" applyProtection="1">
      <alignment horizontal="left"/>
      <protection hidden="1"/>
    </xf>
    <xf numFmtId="0" fontId="31" fillId="0" borderId="139" xfId="0" applyFont="1" applyBorder="1" applyAlignment="1" applyProtection="1">
      <alignment horizontal="left"/>
      <protection hidden="1"/>
    </xf>
    <xf numFmtId="0" fontId="31" fillId="0" borderId="143" xfId="0" applyFont="1" applyBorder="1" applyAlignment="1" applyProtection="1">
      <alignment horizontal="left"/>
      <protection hidden="1"/>
    </xf>
    <xf numFmtId="0" fontId="3" fillId="0" borderId="0" xfId="0" applyFont="1" applyProtection="1">
      <protection locked="0"/>
    </xf>
    <xf numFmtId="0" fontId="3" fillId="0" borderId="0" xfId="0" applyFont="1" applyAlignment="1" applyProtection="1">
      <alignment horizontal="center"/>
      <protection locked="0"/>
    </xf>
    <xf numFmtId="0" fontId="3" fillId="0" borderId="154" xfId="0" applyFont="1" applyBorder="1" applyProtection="1">
      <protection locked="0"/>
    </xf>
    <xf numFmtId="0" fontId="3" fillId="0" borderId="0" xfId="0" applyFont="1" applyBorder="1" applyProtection="1">
      <protection locked="0"/>
    </xf>
    <xf numFmtId="0" fontId="29" fillId="0" borderId="0" xfId="0" applyFont="1" applyAlignment="1" applyProtection="1">
      <alignment horizontal="center" vertical="center"/>
      <protection hidden="1"/>
    </xf>
    <xf numFmtId="0" fontId="26" fillId="0" borderId="0" xfId="0" applyFont="1" applyAlignment="1" applyProtection="1">
      <alignment horizontal="center" vertical="center"/>
      <protection hidden="1"/>
    </xf>
    <xf numFmtId="0" fontId="23" fillId="0" borderId="0" xfId="0" applyFont="1" applyFill="1" applyBorder="1" applyAlignment="1" applyProtection="1">
      <alignment horizontal="left" indent="1"/>
      <protection hidden="1"/>
    </xf>
    <xf numFmtId="0" fontId="24" fillId="0" borderId="0" xfId="0" applyFont="1" applyBorder="1" applyAlignment="1" applyProtection="1">
      <alignment horizontal="left" indent="1"/>
      <protection hidden="1"/>
    </xf>
    <xf numFmtId="0" fontId="27" fillId="0" borderId="0" xfId="0" applyFont="1" applyProtection="1">
      <protection locked="0"/>
    </xf>
    <xf numFmtId="0" fontId="4" fillId="3" borderId="86" xfId="0" applyFont="1" applyFill="1" applyBorder="1" applyProtection="1">
      <protection hidden="1"/>
    </xf>
    <xf numFmtId="0" fontId="4" fillId="3" borderId="143" xfId="0" applyFont="1" applyFill="1" applyBorder="1" applyAlignment="1" applyProtection="1">
      <alignment horizontal="center" textRotation="180"/>
      <protection hidden="1"/>
    </xf>
    <xf numFmtId="0" fontId="4" fillId="2" borderId="155" xfId="0" applyFont="1" applyFill="1" applyBorder="1" applyAlignment="1" applyProtection="1">
      <alignment horizontal="center" vertical="center"/>
      <protection hidden="1"/>
    </xf>
    <xf numFmtId="0" fontId="14" fillId="0" borderId="126" xfId="0" applyFont="1" applyBorder="1" applyProtection="1">
      <protection hidden="1"/>
    </xf>
    <xf numFmtId="0" fontId="14" fillId="0" borderId="69" xfId="0" applyFont="1" applyBorder="1" applyAlignment="1" applyProtection="1">
      <alignment horizontal="center"/>
      <protection hidden="1"/>
    </xf>
    <xf numFmtId="0" fontId="14" fillId="0" borderId="64" xfId="0" applyFont="1" applyBorder="1" applyAlignment="1" applyProtection="1">
      <alignment horizontal="center"/>
      <protection hidden="1"/>
    </xf>
    <xf numFmtId="0" fontId="14" fillId="0" borderId="24" xfId="0" applyFont="1" applyBorder="1" applyAlignment="1" applyProtection="1">
      <alignment horizontal="center"/>
      <protection hidden="1"/>
    </xf>
    <xf numFmtId="0" fontId="3" fillId="2" borderId="122" xfId="0" applyFont="1" applyFill="1" applyBorder="1" applyAlignment="1" applyProtection="1">
      <alignment horizontal="center" vertical="center"/>
      <protection hidden="1"/>
    </xf>
    <xf numFmtId="0" fontId="3" fillId="2" borderId="65" xfId="0" applyFont="1" applyFill="1" applyBorder="1" applyAlignment="1" applyProtection="1">
      <alignment horizontal="center" vertical="center"/>
      <protection hidden="1"/>
    </xf>
    <xf numFmtId="0" fontId="15" fillId="0" borderId="27" xfId="0" applyFont="1" applyBorder="1" applyAlignment="1" applyProtection="1">
      <alignment horizontal="center"/>
      <protection hidden="1"/>
    </xf>
    <xf numFmtId="0" fontId="15" fillId="0" borderId="17" xfId="0" applyFont="1" applyBorder="1" applyAlignment="1" applyProtection="1">
      <alignment horizontal="center"/>
      <protection hidden="1"/>
    </xf>
    <xf numFmtId="173" fontId="3" fillId="0" borderId="0" xfId="0" quotePrefix="1" applyNumberFormat="1" applyFont="1" applyProtection="1">
      <protection hidden="1"/>
    </xf>
    <xf numFmtId="173" fontId="28" fillId="0" borderId="0" xfId="0" applyNumberFormat="1" applyFont="1" applyProtection="1">
      <protection hidden="1"/>
    </xf>
    <xf numFmtId="1" fontId="3" fillId="0" borderId="63" xfId="0" applyNumberFormat="1" applyFont="1" applyBorder="1" applyAlignment="1" applyProtection="1">
      <alignment horizontal="center"/>
      <protection hidden="1"/>
    </xf>
    <xf numFmtId="173" fontId="3" fillId="0" borderId="5" xfId="0" quotePrefix="1" applyNumberFormat="1" applyFont="1" applyBorder="1" applyProtection="1">
      <protection hidden="1"/>
    </xf>
    <xf numFmtId="173" fontId="3" fillId="0" borderId="24" xfId="0" quotePrefix="1" applyNumberFormat="1" applyFont="1" applyBorder="1" applyProtection="1">
      <protection hidden="1"/>
    </xf>
    <xf numFmtId="1" fontId="3" fillId="0" borderId="95" xfId="0" applyNumberFormat="1" applyFont="1" applyBorder="1" applyAlignment="1" applyProtection="1">
      <alignment horizontal="center"/>
      <protection hidden="1"/>
    </xf>
    <xf numFmtId="1" fontId="3" fillId="0" borderId="116" xfId="0" applyNumberFormat="1" applyFont="1" applyBorder="1" applyAlignment="1" applyProtection="1">
      <alignment horizontal="center"/>
      <protection hidden="1"/>
    </xf>
    <xf numFmtId="169" fontId="3" fillId="8" borderId="101" xfId="0" applyNumberFormat="1" applyFont="1" applyFill="1" applyBorder="1" applyAlignment="1" applyProtection="1">
      <protection hidden="1"/>
    </xf>
    <xf numFmtId="169" fontId="3" fillId="8" borderId="111" xfId="0" applyNumberFormat="1" applyFont="1" applyFill="1" applyBorder="1" applyAlignment="1" applyProtection="1">
      <protection hidden="1"/>
    </xf>
    <xf numFmtId="0" fontId="4" fillId="0" borderId="80" xfId="0" applyFont="1" applyBorder="1" applyAlignment="1" applyProtection="1">
      <protection hidden="1"/>
    </xf>
    <xf numFmtId="0" fontId="3" fillId="0" borderId="17" xfId="0" applyFont="1" applyBorder="1" applyAlignment="1" applyProtection="1">
      <protection hidden="1"/>
    </xf>
    <xf numFmtId="0" fontId="3" fillId="0" borderId="123" xfId="0" applyFont="1" applyBorder="1" applyAlignment="1" applyProtection="1">
      <protection hidden="1"/>
    </xf>
    <xf numFmtId="169" fontId="3" fillId="0" borderId="40" xfId="0" quotePrefix="1" applyNumberFormat="1" applyFont="1" applyBorder="1" applyAlignment="1" applyProtection="1">
      <alignment horizontal="right"/>
      <protection hidden="1"/>
    </xf>
    <xf numFmtId="1" fontId="3" fillId="0" borderId="0" xfId="0" applyNumberFormat="1" applyFont="1" applyAlignment="1" applyProtection="1">
      <alignment horizontal="left"/>
      <protection hidden="1"/>
    </xf>
    <xf numFmtId="0" fontId="3" fillId="0" borderId="69" xfId="0" applyFont="1" applyBorder="1" applyProtection="1">
      <protection hidden="1"/>
    </xf>
    <xf numFmtId="173" fontId="3" fillId="0" borderId="6" xfId="0" quotePrefix="1" applyNumberFormat="1" applyFont="1" applyBorder="1" applyProtection="1">
      <protection hidden="1"/>
    </xf>
    <xf numFmtId="173" fontId="4" fillId="0" borderId="5" xfId="0" quotePrefix="1" applyNumberFormat="1" applyFont="1" applyBorder="1" applyProtection="1">
      <protection hidden="1"/>
    </xf>
    <xf numFmtId="0" fontId="14" fillId="0" borderId="126" xfId="0" applyFont="1" applyBorder="1" applyAlignment="1" applyProtection="1">
      <alignment horizontal="right"/>
      <protection hidden="1"/>
    </xf>
    <xf numFmtId="0" fontId="39" fillId="0" borderId="0" xfId="0" applyFont="1" applyBorder="1" applyAlignment="1" applyProtection="1">
      <alignment vertical="center" wrapText="1" shrinkToFit="1"/>
      <protection hidden="1"/>
    </xf>
    <xf numFmtId="0" fontId="3" fillId="0" borderId="0" xfId="0" applyFont="1" applyBorder="1" applyAlignment="1" applyProtection="1">
      <alignment vertical="top" wrapText="1"/>
      <protection hidden="1"/>
    </xf>
    <xf numFmtId="0" fontId="3" fillId="0" borderId="41" xfId="0" applyFont="1" applyBorder="1" applyAlignment="1" applyProtection="1">
      <alignment vertical="top" wrapText="1"/>
      <protection hidden="1"/>
    </xf>
    <xf numFmtId="1" fontId="3" fillId="3" borderId="19" xfId="0" applyNumberFormat="1" applyFont="1" applyFill="1" applyBorder="1" applyAlignment="1" applyProtection="1">
      <alignment horizontal="center"/>
      <protection hidden="1"/>
    </xf>
    <xf numFmtId="0" fontId="0" fillId="0" borderId="119" xfId="0" applyBorder="1"/>
    <xf numFmtId="0" fontId="5" fillId="2" borderId="10" xfId="0" applyFont="1" applyFill="1" applyBorder="1" applyAlignment="1" applyProtection="1">
      <alignment horizontal="center"/>
      <protection hidden="1"/>
    </xf>
    <xf numFmtId="0" fontId="5" fillId="7" borderId="6" xfId="0" applyFont="1" applyFill="1" applyBorder="1" applyAlignment="1" applyProtection="1">
      <alignment horizontal="center"/>
      <protection locked="0"/>
    </xf>
    <xf numFmtId="0" fontId="5" fillId="7" borderId="5" xfId="0" applyFont="1" applyFill="1" applyBorder="1" applyAlignment="1" applyProtection="1">
      <alignment horizontal="center"/>
      <protection locked="0"/>
    </xf>
    <xf numFmtId="0" fontId="5" fillId="7" borderId="70" xfId="0" applyFont="1" applyFill="1" applyBorder="1" applyAlignment="1" applyProtection="1">
      <alignment horizontal="center"/>
      <protection locked="0"/>
    </xf>
    <xf numFmtId="0" fontId="5" fillId="7" borderId="26" xfId="0" applyFont="1" applyFill="1" applyBorder="1" applyAlignment="1" applyProtection="1">
      <alignment horizontal="center"/>
      <protection locked="0"/>
    </xf>
    <xf numFmtId="0" fontId="5" fillId="7" borderId="24" xfId="0" applyFont="1" applyFill="1" applyBorder="1" applyAlignment="1" applyProtection="1">
      <alignment horizontal="center"/>
      <protection locked="0"/>
    </xf>
    <xf numFmtId="0" fontId="5" fillId="0" borderId="0" xfId="0" applyNumberFormat="1" applyFont="1" applyProtection="1">
      <protection hidden="1"/>
    </xf>
    <xf numFmtId="0" fontId="3" fillId="3" borderId="10" xfId="0" applyFont="1" applyFill="1" applyBorder="1" applyAlignment="1" applyProtection="1">
      <protection hidden="1"/>
    </xf>
    <xf numFmtId="0" fontId="10" fillId="0" borderId="26" xfId="0" applyFont="1" applyBorder="1" applyAlignment="1" applyProtection="1">
      <alignment horizontal="center"/>
      <protection hidden="1"/>
    </xf>
    <xf numFmtId="0" fontId="3" fillId="2" borderId="114" xfId="0" applyFont="1" applyFill="1" applyBorder="1" applyAlignment="1" applyProtection="1">
      <alignment horizontal="center"/>
      <protection hidden="1"/>
    </xf>
    <xf numFmtId="0" fontId="3" fillId="0" borderId="26" xfId="0" applyFont="1" applyBorder="1" applyAlignment="1" applyProtection="1">
      <alignment horizontal="left" shrinkToFit="1"/>
      <protection hidden="1"/>
    </xf>
    <xf numFmtId="0" fontId="3" fillId="0" borderId="6" xfId="0" applyFont="1" applyBorder="1" applyAlignment="1" applyProtection="1">
      <alignment horizontal="left" shrinkToFit="1"/>
      <protection hidden="1"/>
    </xf>
    <xf numFmtId="0" fontId="3" fillId="0" borderId="150" xfId="0" applyFont="1" applyBorder="1" applyAlignment="1" applyProtection="1">
      <alignment horizontal="left" shrinkToFit="1"/>
      <protection hidden="1"/>
    </xf>
    <xf numFmtId="0" fontId="3" fillId="0" borderId="82" xfId="0" applyFont="1" applyBorder="1" applyAlignment="1" applyProtection="1">
      <alignment horizontal="left" shrinkToFit="1"/>
      <protection hidden="1"/>
    </xf>
    <xf numFmtId="0" fontId="3" fillId="0" borderId="24" xfId="0" applyFont="1" applyBorder="1" applyAlignment="1" applyProtection="1">
      <alignment horizontal="left" shrinkToFit="1"/>
      <protection hidden="1"/>
    </xf>
    <xf numFmtId="0" fontId="3" fillId="0" borderId="80" xfId="0" applyFont="1" applyBorder="1" applyAlignment="1" applyProtection="1">
      <alignment horizontal="left" shrinkToFit="1"/>
      <protection hidden="1"/>
    </xf>
    <xf numFmtId="0" fontId="3" fillId="0" borderId="27" xfId="0" applyFont="1" applyBorder="1" applyAlignment="1" applyProtection="1">
      <alignment horizontal="left" shrinkToFit="1"/>
      <protection hidden="1"/>
    </xf>
    <xf numFmtId="0" fontId="3" fillId="0" borderId="123" xfId="0" applyFont="1" applyBorder="1" applyAlignment="1" applyProtection="1">
      <alignment horizontal="left" shrinkToFit="1"/>
      <protection hidden="1"/>
    </xf>
    <xf numFmtId="0" fontId="28" fillId="0" borderId="80" xfId="0" applyFont="1" applyBorder="1" applyAlignment="1" applyProtection="1">
      <alignment horizontal="left" shrinkToFit="1"/>
      <protection locked="0"/>
    </xf>
    <xf numFmtId="0" fontId="28" fillId="0" borderId="27" xfId="0" applyFont="1" applyBorder="1" applyAlignment="1" applyProtection="1">
      <alignment horizontal="left" shrinkToFit="1"/>
      <protection locked="0"/>
    </xf>
    <xf numFmtId="0" fontId="28" fillId="0" borderId="150" xfId="0" applyFont="1" applyBorder="1" applyAlignment="1" applyProtection="1">
      <alignment horizontal="left" shrinkToFit="1"/>
      <protection locked="0"/>
    </xf>
    <xf numFmtId="0" fontId="28" fillId="0" borderId="82" xfId="0" applyFont="1" applyBorder="1" applyAlignment="1" applyProtection="1">
      <alignment horizontal="left" shrinkToFit="1"/>
      <protection locked="0"/>
    </xf>
    <xf numFmtId="0" fontId="3" fillId="0" borderId="116" xfId="0" applyFont="1" applyBorder="1" applyAlignment="1" applyProtection="1">
      <alignment horizontal="center"/>
      <protection hidden="1"/>
    </xf>
    <xf numFmtId="0" fontId="3" fillId="0" borderId="43" xfId="0" applyFont="1" applyBorder="1" applyAlignment="1" applyProtection="1">
      <protection hidden="1"/>
    </xf>
    <xf numFmtId="0" fontId="3" fillId="0" borderId="30" xfId="0" applyFont="1" applyBorder="1" applyAlignment="1" applyProtection="1">
      <alignment horizontal="left" shrinkToFit="1"/>
      <protection hidden="1"/>
    </xf>
    <xf numFmtId="0" fontId="3" fillId="0" borderId="34" xfId="0" applyFont="1" applyBorder="1" applyAlignment="1" applyProtection="1">
      <alignment horizontal="left" shrinkToFit="1"/>
      <protection hidden="1"/>
    </xf>
    <xf numFmtId="0" fontId="3" fillId="0" borderId="32" xfId="0" applyFont="1" applyBorder="1" applyAlignment="1" applyProtection="1">
      <alignment horizontal="left" shrinkToFit="1"/>
      <protection hidden="1"/>
    </xf>
    <xf numFmtId="0" fontId="3" fillId="2" borderId="136" xfId="0" applyFont="1" applyFill="1" applyBorder="1" applyAlignment="1" applyProtection="1">
      <alignment horizontal="center"/>
      <protection hidden="1"/>
    </xf>
    <xf numFmtId="0" fontId="3" fillId="0" borderId="0" xfId="0" applyFont="1" applyBorder="1" applyAlignment="1" applyProtection="1">
      <alignment horizontal="left" shrinkToFit="1"/>
      <protection locked="0"/>
    </xf>
    <xf numFmtId="0" fontId="3" fillId="0" borderId="90" xfId="0" applyFont="1" applyBorder="1" applyAlignment="1" applyProtection="1">
      <alignment horizontal="left" shrinkToFit="1"/>
      <protection locked="0"/>
    </xf>
    <xf numFmtId="0" fontId="3" fillId="0" borderId="36" xfId="0" applyFont="1" applyBorder="1" applyAlignment="1" applyProtection="1">
      <alignment horizontal="left" shrinkToFit="1"/>
      <protection locked="0"/>
    </xf>
    <xf numFmtId="0" fontId="3" fillId="0" borderId="53" xfId="0" applyFont="1" applyBorder="1" applyAlignment="1" applyProtection="1">
      <alignment horizontal="left" shrinkToFit="1"/>
      <protection locked="0"/>
    </xf>
    <xf numFmtId="0" fontId="3" fillId="0" borderId="114" xfId="0" applyFont="1" applyBorder="1" applyAlignment="1" applyProtection="1">
      <alignment horizontal="left" shrinkToFit="1"/>
      <protection locked="0"/>
    </xf>
    <xf numFmtId="0" fontId="3" fillId="0" borderId="136" xfId="0" applyFont="1" applyBorder="1" applyAlignment="1" applyProtection="1">
      <alignment horizontal="left" shrinkToFit="1"/>
      <protection locked="0"/>
    </xf>
    <xf numFmtId="0" fontId="3" fillId="0" borderId="34" xfId="0" applyFont="1" applyBorder="1" applyAlignment="1" applyProtection="1">
      <alignment horizontal="left" shrinkToFit="1"/>
      <protection locked="0"/>
    </xf>
    <xf numFmtId="0" fontId="3" fillId="0" borderId="54" xfId="0" applyFont="1" applyBorder="1" applyAlignment="1" applyProtection="1">
      <alignment horizontal="left" shrinkToFit="1"/>
      <protection locked="0"/>
    </xf>
    <xf numFmtId="0" fontId="3" fillId="0" borderId="30" xfId="0" applyFont="1" applyBorder="1" applyAlignment="1" applyProtection="1">
      <alignment horizontal="left" shrinkToFit="1"/>
      <protection locked="0"/>
    </xf>
    <xf numFmtId="0" fontId="3" fillId="0" borderId="52" xfId="0" applyFont="1" applyBorder="1" applyAlignment="1" applyProtection="1">
      <alignment horizontal="left" shrinkToFit="1"/>
      <protection locked="0"/>
    </xf>
    <xf numFmtId="0" fontId="6" fillId="0" borderId="58" xfId="0" applyFont="1" applyBorder="1" applyAlignment="1" applyProtection="1">
      <alignment horizontal="right" shrinkToFit="1"/>
      <protection locked="0"/>
    </xf>
    <xf numFmtId="0" fontId="6" fillId="0" borderId="19" xfId="0" applyFont="1" applyBorder="1" applyAlignment="1" applyProtection="1">
      <alignment horizontal="right" shrinkToFit="1"/>
      <protection locked="0"/>
    </xf>
    <xf numFmtId="0" fontId="6" fillId="0" borderId="1" xfId="0" applyFont="1" applyBorder="1" applyAlignment="1" applyProtection="1">
      <alignment horizontal="right" shrinkToFit="1"/>
      <protection locked="0"/>
    </xf>
    <xf numFmtId="0" fontId="6" fillId="0" borderId="60" xfId="0" applyFont="1" applyBorder="1" applyAlignment="1" applyProtection="1">
      <alignment horizontal="right" shrinkToFit="1"/>
      <protection locked="0"/>
    </xf>
    <xf numFmtId="0" fontId="12" fillId="0" borderId="0" xfId="0" applyFont="1"/>
    <xf numFmtId="0" fontId="27" fillId="0" borderId="0" xfId="0" applyFont="1" applyAlignment="1" applyProtection="1">
      <alignment horizontal="center"/>
      <protection locked="0"/>
    </xf>
    <xf numFmtId="0" fontId="15" fillId="3" borderId="10" xfId="0" applyFont="1" applyFill="1" applyBorder="1" applyAlignment="1" applyProtection="1">
      <alignment horizontal="center"/>
      <protection hidden="1"/>
    </xf>
    <xf numFmtId="0" fontId="15" fillId="0" borderId="12" xfId="0" applyFont="1" applyBorder="1" applyAlignment="1" applyProtection="1">
      <alignment horizontal="center"/>
      <protection hidden="1"/>
    </xf>
    <xf numFmtId="0" fontId="15" fillId="0" borderId="44" xfId="0" applyFont="1" applyBorder="1" applyAlignment="1" applyProtection="1">
      <alignment horizontal="center"/>
      <protection hidden="1"/>
    </xf>
    <xf numFmtId="0" fontId="26" fillId="0" borderId="0" xfId="0" applyFont="1" applyAlignment="1" applyProtection="1">
      <alignment horizontal="right" vertical="center"/>
      <protection hidden="1"/>
    </xf>
    <xf numFmtId="16" fontId="9" fillId="0" borderId="0" xfId="0" applyNumberFormat="1" applyFont="1" applyProtection="1">
      <protection hidden="1"/>
    </xf>
    <xf numFmtId="0" fontId="9" fillId="0" borderId="0" xfId="0" applyFont="1" applyProtection="1">
      <protection hidden="1"/>
    </xf>
    <xf numFmtId="164" fontId="9" fillId="0" borderId="0" xfId="0" applyNumberFormat="1" applyFont="1" applyProtection="1">
      <protection hidden="1"/>
    </xf>
    <xf numFmtId="0" fontId="15" fillId="0" borderId="7" xfId="0" applyFont="1" applyBorder="1" applyAlignment="1" applyProtection="1">
      <alignment horizontal="center"/>
      <protection hidden="1"/>
    </xf>
    <xf numFmtId="0" fontId="15" fillId="0" borderId="33" xfId="0" applyFont="1" applyBorder="1" applyAlignment="1" applyProtection="1">
      <alignment vertical="center"/>
      <protection hidden="1"/>
    </xf>
    <xf numFmtId="0" fontId="15" fillId="0" borderId="35" xfId="0" applyFont="1" applyBorder="1" applyAlignment="1" applyProtection="1">
      <alignment vertical="center"/>
      <protection hidden="1"/>
    </xf>
    <xf numFmtId="0" fontId="14" fillId="0" borderId="69" xfId="0" applyFont="1" applyBorder="1" applyAlignment="1" applyProtection="1">
      <alignment horizontal="center" vertical="center"/>
      <protection hidden="1"/>
    </xf>
    <xf numFmtId="0" fontId="14" fillId="0" borderId="27" xfId="0" applyFont="1" applyBorder="1" applyAlignment="1" applyProtection="1">
      <alignment horizontal="center" vertical="center"/>
      <protection hidden="1"/>
    </xf>
    <xf numFmtId="1" fontId="14" fillId="0" borderId="52" xfId="0" applyNumberFormat="1" applyFont="1" applyBorder="1" applyAlignment="1" applyProtection="1">
      <alignment horizontal="left" vertical="center"/>
      <protection hidden="1"/>
    </xf>
    <xf numFmtId="1" fontId="14" fillId="0" borderId="80" xfId="0" applyNumberFormat="1" applyFont="1" applyBorder="1" applyAlignment="1" applyProtection="1">
      <alignment horizontal="right" vertical="center"/>
      <protection hidden="1"/>
    </xf>
    <xf numFmtId="1" fontId="14" fillId="0" borderId="46" xfId="0" applyNumberFormat="1" applyFont="1" applyBorder="1" applyAlignment="1" applyProtection="1">
      <alignment horizontal="left" vertical="center"/>
      <protection hidden="1"/>
    </xf>
    <xf numFmtId="0" fontId="14" fillId="0" borderId="64" xfId="0" applyFont="1" applyBorder="1" applyAlignment="1" applyProtection="1">
      <alignment horizontal="center" vertical="center"/>
      <protection hidden="1"/>
    </xf>
    <xf numFmtId="0" fontId="14" fillId="0" borderId="17" xfId="0" applyFont="1" applyBorder="1" applyAlignment="1" applyProtection="1">
      <alignment horizontal="center" vertical="center"/>
      <protection hidden="1"/>
    </xf>
    <xf numFmtId="1" fontId="14" fillId="0" borderId="53" xfId="0" applyNumberFormat="1" applyFont="1" applyBorder="1" applyAlignment="1" applyProtection="1">
      <alignment horizontal="left" vertical="center"/>
      <protection hidden="1"/>
    </xf>
    <xf numFmtId="1" fontId="14" fillId="0" borderId="17" xfId="0" applyNumberFormat="1" applyFont="1" applyBorder="1" applyAlignment="1" applyProtection="1">
      <alignment horizontal="right" vertical="center"/>
      <protection hidden="1"/>
    </xf>
    <xf numFmtId="1" fontId="14" fillId="0" borderId="42" xfId="0" applyNumberFormat="1" applyFont="1" applyBorder="1" applyAlignment="1" applyProtection="1">
      <alignment horizontal="left" vertical="center"/>
      <protection hidden="1"/>
    </xf>
    <xf numFmtId="1" fontId="14" fillId="0" borderId="54" xfId="0" applyNumberFormat="1" applyFont="1" applyBorder="1" applyAlignment="1" applyProtection="1">
      <alignment horizontal="left" vertical="center"/>
      <protection hidden="1"/>
    </xf>
    <xf numFmtId="1" fontId="14" fillId="0" borderId="27" xfId="0" applyNumberFormat="1" applyFont="1" applyBorder="1" applyAlignment="1" applyProtection="1">
      <alignment horizontal="right" vertical="center"/>
      <protection hidden="1"/>
    </xf>
    <xf numFmtId="1" fontId="14" fillId="0" borderId="56" xfId="0" applyNumberFormat="1" applyFont="1" applyBorder="1" applyAlignment="1" applyProtection="1">
      <alignment horizontal="left" vertical="center"/>
      <protection hidden="1"/>
    </xf>
    <xf numFmtId="0" fontId="3" fillId="0" borderId="95" xfId="0" applyNumberFormat="1" applyFont="1" applyBorder="1" applyAlignment="1" applyProtection="1">
      <alignment horizontal="center"/>
      <protection hidden="1"/>
    </xf>
    <xf numFmtId="0" fontId="3" fillId="0" borderId="65" xfId="0" applyNumberFormat="1" applyFont="1" applyBorder="1" applyAlignment="1" applyProtection="1">
      <alignment horizontal="center"/>
      <protection hidden="1"/>
    </xf>
    <xf numFmtId="0" fontId="3" fillId="0" borderId="68" xfId="0" applyNumberFormat="1" applyFont="1" applyBorder="1" applyAlignment="1" applyProtection="1">
      <alignment horizontal="center"/>
      <protection hidden="1"/>
    </xf>
    <xf numFmtId="0" fontId="5" fillId="4" borderId="163" xfId="0" applyNumberFormat="1" applyFont="1" applyFill="1" applyBorder="1" applyAlignment="1" applyProtection="1">
      <alignment horizontal="center" vertical="center"/>
      <protection hidden="1"/>
    </xf>
    <xf numFmtId="0" fontId="3" fillId="4" borderId="164" xfId="0" applyNumberFormat="1" applyFont="1" applyFill="1" applyBorder="1" applyAlignment="1" applyProtection="1">
      <alignment horizontal="center" vertical="center"/>
      <protection hidden="1"/>
    </xf>
    <xf numFmtId="0" fontId="3" fillId="4" borderId="165" xfId="0" applyNumberFormat="1" applyFont="1" applyFill="1" applyBorder="1" applyAlignment="1" applyProtection="1">
      <alignment horizontal="center" vertical="center"/>
      <protection hidden="1"/>
    </xf>
    <xf numFmtId="0" fontId="3" fillId="4" borderId="163" xfId="0" applyNumberFormat="1" applyFont="1" applyFill="1" applyBorder="1" applyAlignment="1" applyProtection="1">
      <alignment horizontal="center" vertical="center"/>
      <protection hidden="1"/>
    </xf>
    <xf numFmtId="0" fontId="3" fillId="4" borderId="166" xfId="0" applyNumberFormat="1" applyFont="1" applyFill="1" applyBorder="1" applyAlignment="1" applyProtection="1">
      <alignment horizontal="center" vertical="center"/>
      <protection hidden="1"/>
    </xf>
    <xf numFmtId="0" fontId="5" fillId="2" borderId="167" xfId="1" applyNumberFormat="1" applyFont="1" applyFill="1" applyBorder="1" applyAlignment="1" applyProtection="1">
      <alignment vertical="center"/>
      <protection hidden="1"/>
    </xf>
    <xf numFmtId="0" fontId="3" fillId="2" borderId="168" xfId="0" applyNumberFormat="1" applyFont="1" applyFill="1" applyBorder="1" applyAlignment="1" applyProtection="1">
      <alignment vertical="center"/>
      <protection hidden="1"/>
    </xf>
    <xf numFmtId="0" fontId="3" fillId="2" borderId="169" xfId="0" applyNumberFormat="1" applyFont="1" applyFill="1" applyBorder="1" applyAlignment="1" applyProtection="1">
      <alignment vertical="center"/>
      <protection hidden="1"/>
    </xf>
    <xf numFmtId="0" fontId="3" fillId="2" borderId="167" xfId="0" applyNumberFormat="1" applyFont="1" applyFill="1" applyBorder="1" applyAlignment="1" applyProtection="1">
      <alignment vertical="center"/>
      <protection hidden="1"/>
    </xf>
    <xf numFmtId="0" fontId="3" fillId="2" borderId="168" xfId="0" applyNumberFormat="1" applyFont="1" applyFill="1" applyBorder="1" applyAlignment="1" applyProtection="1">
      <alignment horizontal="left" vertical="center"/>
      <protection hidden="1"/>
    </xf>
    <xf numFmtId="0" fontId="3" fillId="2" borderId="170" xfId="0" applyNumberFormat="1" applyFont="1" applyFill="1" applyBorder="1" applyAlignment="1" applyProtection="1">
      <alignment vertical="center"/>
      <protection hidden="1"/>
    </xf>
    <xf numFmtId="0" fontId="26" fillId="0" borderId="137" xfId="0" applyNumberFormat="1" applyFont="1" applyBorder="1" applyAlignment="1" applyProtection="1">
      <alignment horizontal="center"/>
      <protection hidden="1"/>
    </xf>
    <xf numFmtId="0" fontId="26" fillId="0" borderId="138" xfId="0" applyNumberFormat="1" applyFont="1" applyBorder="1" applyAlignment="1" applyProtection="1">
      <alignment horizontal="center"/>
      <protection hidden="1"/>
    </xf>
    <xf numFmtId="0" fontId="26" fillId="0" borderId="139" xfId="0" applyNumberFormat="1" applyFont="1" applyBorder="1" applyAlignment="1" applyProtection="1">
      <alignment horizontal="center"/>
      <protection hidden="1"/>
    </xf>
    <xf numFmtId="0" fontId="26" fillId="0" borderId="143" xfId="0" applyNumberFormat="1" applyFont="1" applyBorder="1" applyAlignment="1" applyProtection="1">
      <alignment horizontal="center"/>
      <protection hidden="1"/>
    </xf>
    <xf numFmtId="0" fontId="3" fillId="3" borderId="0" xfId="0" applyFont="1" applyFill="1" applyBorder="1" applyAlignment="1" applyProtection="1">
      <alignment horizontal="center" wrapText="1"/>
      <protection hidden="1"/>
    </xf>
    <xf numFmtId="0" fontId="3" fillId="3" borderId="43" xfId="0" applyFont="1" applyFill="1" applyBorder="1" applyAlignment="1" applyProtection="1">
      <alignment horizontal="center" wrapText="1"/>
      <protection hidden="1"/>
    </xf>
    <xf numFmtId="169" fontId="3" fillId="0" borderId="30" xfId="0" quotePrefix="1" applyNumberFormat="1" applyFont="1" applyBorder="1" applyAlignment="1" applyProtection="1">
      <alignment horizontal="right"/>
      <protection hidden="1"/>
    </xf>
    <xf numFmtId="169" fontId="3" fillId="0" borderId="36" xfId="0" applyNumberFormat="1" applyFont="1" applyBorder="1" applyAlignment="1" applyProtection="1">
      <alignment horizontal="right"/>
      <protection hidden="1"/>
    </xf>
    <xf numFmtId="169" fontId="3" fillId="0" borderId="34" xfId="0" applyNumberFormat="1" applyFont="1" applyBorder="1" applyAlignment="1" applyProtection="1">
      <alignment horizontal="right"/>
      <protection hidden="1"/>
    </xf>
    <xf numFmtId="169" fontId="3" fillId="0" borderId="144" xfId="0" applyNumberFormat="1" applyFont="1" applyBorder="1" applyAlignment="1" applyProtection="1">
      <alignment horizontal="right"/>
      <protection hidden="1"/>
    </xf>
    <xf numFmtId="169" fontId="3" fillId="0" borderId="0" xfId="0" applyNumberFormat="1" applyFont="1" applyBorder="1" applyAlignment="1" applyProtection="1">
      <alignment horizontal="right"/>
      <protection hidden="1"/>
    </xf>
    <xf numFmtId="0" fontId="3" fillId="2" borderId="0" xfId="0" applyFont="1" applyFill="1" applyBorder="1" applyAlignment="1" applyProtection="1">
      <alignment horizontal="center"/>
      <protection hidden="1"/>
    </xf>
    <xf numFmtId="169" fontId="3" fillId="0" borderId="0" xfId="0" quotePrefix="1" applyNumberFormat="1" applyFont="1" applyBorder="1" applyAlignment="1" applyProtection="1">
      <alignment horizontal="right"/>
      <protection hidden="1"/>
    </xf>
    <xf numFmtId="168" fontId="3" fillId="0" borderId="0" xfId="0" applyNumberFormat="1" applyFont="1" applyAlignment="1" applyProtection="1">
      <alignment horizontal="center"/>
      <protection hidden="1"/>
    </xf>
    <xf numFmtId="170" fontId="3" fillId="0" borderId="0" xfId="0" applyNumberFormat="1" applyFont="1" applyAlignment="1" applyProtection="1">
      <protection hidden="1"/>
    </xf>
    <xf numFmtId="166" fontId="3" fillId="0" borderId="40" xfId="0" applyNumberFormat="1" applyFont="1" applyBorder="1" applyAlignment="1" applyProtection="1">
      <alignment horizontal="center"/>
      <protection hidden="1"/>
    </xf>
    <xf numFmtId="166" fontId="3" fillId="0" borderId="83" xfId="0" applyNumberFormat="1" applyFont="1" applyBorder="1" applyAlignment="1" applyProtection="1">
      <alignment horizontal="center"/>
      <protection hidden="1"/>
    </xf>
    <xf numFmtId="0" fontId="14" fillId="0" borderId="0" xfId="0" applyFont="1" applyBorder="1" applyProtection="1">
      <protection hidden="1"/>
    </xf>
    <xf numFmtId="0" fontId="15" fillId="0" borderId="65" xfId="0" applyFont="1" applyBorder="1" applyAlignment="1" applyProtection="1">
      <alignment horizontal="center"/>
      <protection hidden="1"/>
    </xf>
    <xf numFmtId="0" fontId="14" fillId="0" borderId="35" xfId="0" applyNumberFormat="1" applyFont="1" applyBorder="1" applyAlignment="1" applyProtection="1">
      <alignment horizontal="right" vertical="center"/>
      <protection hidden="1"/>
    </xf>
    <xf numFmtId="164" fontId="5" fillId="2" borderId="167" xfId="1" applyFont="1" applyFill="1" applyBorder="1" applyAlignment="1" applyProtection="1">
      <alignment vertical="center"/>
      <protection hidden="1"/>
    </xf>
    <xf numFmtId="1" fontId="5" fillId="4" borderId="163" xfId="10" applyNumberFormat="1" applyFont="1" applyFill="1" applyBorder="1" applyAlignment="1" applyProtection="1">
      <alignment horizontal="center" vertical="center"/>
      <protection hidden="1"/>
    </xf>
    <xf numFmtId="0" fontId="5" fillId="4" borderId="163" xfId="10" applyNumberFormat="1" applyFont="1" applyFill="1" applyBorder="1" applyAlignment="1" applyProtection="1">
      <alignment horizontal="center" vertical="center"/>
      <protection hidden="1"/>
    </xf>
    <xf numFmtId="0" fontId="3" fillId="2" borderId="168" xfId="10" applyFont="1" applyFill="1" applyBorder="1" applyAlignment="1" applyProtection="1">
      <alignment vertical="center"/>
      <protection hidden="1"/>
    </xf>
    <xf numFmtId="1" fontId="3" fillId="4" borderId="164" xfId="10" applyNumberFormat="1" applyFont="1" applyFill="1" applyBorder="1" applyAlignment="1" applyProtection="1">
      <alignment horizontal="center" vertical="center"/>
      <protection hidden="1"/>
    </xf>
    <xf numFmtId="0" fontId="3" fillId="4" borderId="164" xfId="10" applyNumberFormat="1" applyFont="1" applyFill="1" applyBorder="1" applyAlignment="1" applyProtection="1">
      <alignment horizontal="center" vertical="center"/>
      <protection hidden="1"/>
    </xf>
    <xf numFmtId="0" fontId="3" fillId="2" borderId="169" xfId="10" applyFont="1" applyFill="1" applyBorder="1" applyAlignment="1" applyProtection="1">
      <alignment vertical="center"/>
      <protection hidden="1"/>
    </xf>
    <xf numFmtId="1" fontId="3" fillId="4" borderId="165" xfId="10" applyNumberFormat="1" applyFont="1" applyFill="1" applyBorder="1" applyAlignment="1" applyProtection="1">
      <alignment horizontal="center" vertical="center"/>
      <protection hidden="1"/>
    </xf>
    <xf numFmtId="0" fontId="3" fillId="4" borderId="165" xfId="10" applyNumberFormat="1" applyFont="1" applyFill="1" applyBorder="1" applyAlignment="1" applyProtection="1">
      <alignment horizontal="center" vertical="center"/>
      <protection hidden="1"/>
    </xf>
    <xf numFmtId="0" fontId="3" fillId="2" borderId="167" xfId="10" applyFont="1" applyFill="1" applyBorder="1" applyAlignment="1" applyProtection="1">
      <alignment vertical="center"/>
      <protection hidden="1"/>
    </xf>
    <xf numFmtId="1" fontId="3" fillId="4" borderId="163" xfId="10" applyNumberFormat="1" applyFont="1" applyFill="1" applyBorder="1" applyAlignment="1" applyProtection="1">
      <alignment horizontal="center" vertical="center"/>
      <protection hidden="1"/>
    </xf>
    <xf numFmtId="0" fontId="3" fillId="4" borderId="163" xfId="10" applyNumberFormat="1" applyFont="1" applyFill="1" applyBorder="1" applyAlignment="1" applyProtection="1">
      <alignment horizontal="center" vertical="center"/>
      <protection hidden="1"/>
    </xf>
    <xf numFmtId="0" fontId="3" fillId="2" borderId="168" xfId="10" applyFont="1" applyFill="1" applyBorder="1" applyAlignment="1" applyProtection="1">
      <alignment horizontal="left" vertical="center"/>
      <protection hidden="1"/>
    </xf>
    <xf numFmtId="0" fontId="3" fillId="2" borderId="170" xfId="10" applyFont="1" applyFill="1" applyBorder="1" applyAlignment="1" applyProtection="1">
      <alignment vertical="center"/>
      <protection hidden="1"/>
    </xf>
    <xf numFmtId="1" fontId="3" fillId="4" borderId="166" xfId="10" applyNumberFormat="1" applyFont="1" applyFill="1" applyBorder="1" applyAlignment="1" applyProtection="1">
      <alignment horizontal="center" vertical="center"/>
      <protection hidden="1"/>
    </xf>
    <xf numFmtId="0" fontId="3" fillId="4" borderId="166" xfId="10" applyNumberFormat="1" applyFont="1" applyFill="1" applyBorder="1" applyAlignment="1" applyProtection="1">
      <alignment horizontal="center" vertical="center"/>
      <protection hidden="1"/>
    </xf>
    <xf numFmtId="0" fontId="3" fillId="0" borderId="45" xfId="0" applyFont="1" applyBorder="1" applyProtection="1">
      <protection hidden="1"/>
    </xf>
    <xf numFmtId="0" fontId="3" fillId="0" borderId="150" xfId="0" applyFont="1" applyBorder="1" applyProtection="1">
      <protection hidden="1"/>
    </xf>
    <xf numFmtId="0" fontId="0" fillId="0" borderId="137" xfId="0" applyBorder="1"/>
    <xf numFmtId="0" fontId="0" fillId="0" borderId="138" xfId="0" applyBorder="1"/>
    <xf numFmtId="0" fontId="0" fillId="0" borderId="139" xfId="0" applyBorder="1"/>
    <xf numFmtId="0" fontId="2" fillId="0" borderId="148" xfId="0" applyFont="1" applyBorder="1" applyAlignment="1">
      <alignment horizontal="center"/>
    </xf>
    <xf numFmtId="0" fontId="2" fillId="0" borderId="156" xfId="0" applyFont="1" applyBorder="1" applyAlignment="1">
      <alignment horizontal="center"/>
    </xf>
    <xf numFmtId="0" fontId="2" fillId="0" borderId="57" xfId="0" applyFont="1" applyBorder="1" applyAlignment="1">
      <alignment horizontal="center"/>
    </xf>
    <xf numFmtId="0" fontId="0" fillId="0" borderId="12" xfId="0" applyBorder="1" applyAlignment="1">
      <alignment horizontal="center"/>
    </xf>
    <xf numFmtId="0" fontId="0" fillId="0" borderId="10" xfId="0" applyBorder="1" applyAlignment="1">
      <alignment horizontal="center"/>
    </xf>
    <xf numFmtId="0" fontId="0" fillId="0" borderId="13" xfId="0" applyBorder="1" applyAlignment="1">
      <alignment horizontal="center"/>
    </xf>
    <xf numFmtId="0" fontId="0" fillId="0" borderId="159" xfId="0" applyBorder="1" applyAlignment="1">
      <alignment horizontal="center"/>
    </xf>
    <xf numFmtId="0" fontId="0" fillId="0" borderId="111" xfId="0" applyBorder="1" applyAlignment="1">
      <alignment horizontal="center"/>
    </xf>
    <xf numFmtId="0" fontId="0" fillId="0" borderId="120" xfId="0" applyBorder="1" applyAlignment="1">
      <alignment horizontal="center"/>
    </xf>
    <xf numFmtId="0" fontId="0" fillId="0" borderId="157" xfId="0" applyBorder="1" applyAlignment="1">
      <alignment horizontal="center"/>
    </xf>
    <xf numFmtId="0" fontId="0" fillId="0" borderId="158" xfId="0" applyBorder="1" applyAlignment="1">
      <alignment horizontal="center"/>
    </xf>
    <xf numFmtId="0" fontId="0" fillId="0" borderId="160" xfId="0" applyBorder="1" applyAlignment="1">
      <alignment horizontal="center"/>
    </xf>
    <xf numFmtId="0" fontId="0" fillId="0" borderId="161" xfId="0" applyBorder="1" applyAlignment="1">
      <alignment horizontal="center"/>
    </xf>
    <xf numFmtId="0" fontId="0" fillId="0" borderId="86" xfId="0" applyBorder="1"/>
    <xf numFmtId="173" fontId="3" fillId="0" borderId="39" xfId="0" applyNumberFormat="1" applyFont="1" applyBorder="1" applyAlignment="1" applyProtection="1">
      <alignment horizontal="center"/>
      <protection hidden="1"/>
    </xf>
    <xf numFmtId="173" fontId="3" fillId="0" borderId="38" xfId="0" applyNumberFormat="1" applyFont="1" applyBorder="1" applyAlignment="1" applyProtection="1">
      <alignment horizontal="center"/>
      <protection hidden="1"/>
    </xf>
    <xf numFmtId="173" fontId="3" fillId="0" borderId="40" xfId="0" applyNumberFormat="1" applyFont="1" applyBorder="1" applyAlignment="1" applyProtection="1">
      <alignment horizontal="center"/>
      <protection hidden="1"/>
    </xf>
    <xf numFmtId="173" fontId="3" fillId="0" borderId="37" xfId="0" applyNumberFormat="1" applyFont="1" applyBorder="1" applyAlignment="1" applyProtection="1">
      <alignment horizontal="center"/>
      <protection hidden="1"/>
    </xf>
    <xf numFmtId="173" fontId="3" fillId="0" borderId="39" xfId="0" quotePrefix="1" applyNumberFormat="1" applyFont="1" applyBorder="1" applyAlignment="1" applyProtection="1">
      <alignment horizontal="right"/>
      <protection hidden="1"/>
    </xf>
    <xf numFmtId="173" fontId="3" fillId="0" borderId="38" xfId="0" applyNumberFormat="1" applyFont="1" applyBorder="1" applyAlignment="1" applyProtection="1">
      <alignment horizontal="right"/>
      <protection hidden="1"/>
    </xf>
    <xf numFmtId="173" fontId="3" fillId="0" borderId="40" xfId="0" applyNumberFormat="1" applyFont="1" applyBorder="1" applyAlignment="1" applyProtection="1">
      <alignment horizontal="right"/>
      <protection hidden="1"/>
    </xf>
    <xf numFmtId="173" fontId="3" fillId="0" borderId="37" xfId="0" applyNumberFormat="1" applyFont="1" applyBorder="1" applyAlignment="1" applyProtection="1">
      <alignment horizontal="right"/>
      <protection hidden="1"/>
    </xf>
    <xf numFmtId="0" fontId="0" fillId="0" borderId="92" xfId="0" applyBorder="1" applyAlignment="1">
      <alignment horizontal="center"/>
    </xf>
    <xf numFmtId="0" fontId="0" fillId="0" borderId="93" xfId="0" applyBorder="1" applyAlignment="1">
      <alignment horizontal="center"/>
    </xf>
    <xf numFmtId="0" fontId="0" fillId="0" borderId="94" xfId="0" applyBorder="1" applyAlignment="1">
      <alignment horizontal="center"/>
    </xf>
    <xf numFmtId="0" fontId="3" fillId="0" borderId="102" xfId="0" applyFont="1" applyBorder="1" applyAlignment="1" applyProtection="1">
      <alignment horizontal="center"/>
      <protection hidden="1"/>
    </xf>
    <xf numFmtId="0" fontId="3" fillId="0" borderId="111" xfId="0" applyFont="1" applyBorder="1" applyProtection="1">
      <protection hidden="1"/>
    </xf>
    <xf numFmtId="0" fontId="3" fillId="0" borderId="111" xfId="0" applyFont="1" applyBorder="1" applyAlignment="1" applyProtection="1">
      <alignment horizontal="center"/>
      <protection hidden="1"/>
    </xf>
    <xf numFmtId="0" fontId="3" fillId="0" borderId="111" xfId="0" applyFont="1" applyBorder="1" applyAlignment="1">
      <alignment horizontal="center"/>
    </xf>
    <xf numFmtId="0" fontId="6" fillId="0" borderId="111" xfId="0" applyFont="1" applyBorder="1" applyProtection="1">
      <protection hidden="1"/>
    </xf>
    <xf numFmtId="0" fontId="3" fillId="0" borderId="111" xfId="0" applyNumberFormat="1" applyFont="1" applyBorder="1" applyAlignment="1" applyProtection="1">
      <alignment horizontal="center"/>
      <protection hidden="1"/>
    </xf>
    <xf numFmtId="169" fontId="3" fillId="0" borderId="111" xfId="0" applyNumberFormat="1" applyFont="1" applyBorder="1" applyAlignment="1">
      <alignment horizontal="center"/>
    </xf>
    <xf numFmtId="0" fontId="3" fillId="0" borderId="111" xfId="0" applyFont="1" applyBorder="1" applyAlignment="1">
      <alignment horizontal="left"/>
    </xf>
    <xf numFmtId="0" fontId="3" fillId="0" borderId="111" xfId="0" applyFont="1" applyBorder="1" applyAlignment="1" applyProtection="1">
      <alignment horizontal="left"/>
      <protection hidden="1"/>
    </xf>
    <xf numFmtId="0" fontId="3" fillId="0" borderId="111" xfId="0" applyFont="1" applyBorder="1" applyAlignment="1" applyProtection="1">
      <protection hidden="1"/>
    </xf>
    <xf numFmtId="169" fontId="3" fillId="0" borderId="0" xfId="0" applyNumberFormat="1" applyFont="1" applyAlignment="1" applyProtection="1">
      <alignment horizontal="center"/>
      <protection hidden="1"/>
    </xf>
    <xf numFmtId="166" fontId="3" fillId="0" borderId="0" xfId="0" applyNumberFormat="1" applyFont="1" applyAlignment="1" applyProtection="1">
      <alignment horizontal="center"/>
      <protection hidden="1"/>
    </xf>
    <xf numFmtId="169" fontId="3" fillId="0" borderId="0" xfId="0" applyNumberFormat="1" applyFont="1"/>
    <xf numFmtId="0" fontId="4" fillId="0" borderId="111" xfId="0" applyFont="1" applyBorder="1" applyProtection="1">
      <protection hidden="1"/>
    </xf>
    <xf numFmtId="0" fontId="4" fillId="0" borderId="111" xfId="0" applyFont="1" applyBorder="1" applyAlignment="1" applyProtection="1">
      <alignment horizontal="center"/>
      <protection hidden="1"/>
    </xf>
    <xf numFmtId="0" fontId="4" fillId="0" borderId="111" xfId="0" applyNumberFormat="1" applyFont="1" applyBorder="1" applyAlignment="1" applyProtection="1">
      <alignment horizontal="center"/>
      <protection hidden="1"/>
    </xf>
    <xf numFmtId="0" fontId="4" fillId="0" borderId="111" xfId="0" applyFont="1" applyBorder="1" applyAlignment="1">
      <alignment horizontal="center"/>
    </xf>
    <xf numFmtId="0" fontId="4" fillId="0" borderId="111" xfId="0" applyFont="1" applyBorder="1" applyAlignment="1">
      <alignment horizontal="left"/>
    </xf>
    <xf numFmtId="169" fontId="4" fillId="0" borderId="0" xfId="0" applyNumberFormat="1" applyFont="1" applyAlignment="1" applyProtection="1">
      <alignment horizontal="center"/>
      <protection hidden="1"/>
    </xf>
    <xf numFmtId="0" fontId="4" fillId="0" borderId="0" xfId="0" applyFont="1" applyAlignment="1" applyProtection="1">
      <alignment horizontal="center"/>
      <protection hidden="1"/>
    </xf>
    <xf numFmtId="0" fontId="5" fillId="0" borderId="111" xfId="0" applyFont="1" applyBorder="1" applyProtection="1">
      <protection hidden="1"/>
    </xf>
    <xf numFmtId="169" fontId="4" fillId="0" borderId="0" xfId="0" applyNumberFormat="1" applyFont="1"/>
    <xf numFmtId="169" fontId="4" fillId="0" borderId="40" xfId="0" applyNumberFormat="1" applyFont="1" applyBorder="1" applyAlignment="1" applyProtection="1">
      <alignment horizontal="right"/>
      <protection hidden="1"/>
    </xf>
    <xf numFmtId="173" fontId="3" fillId="0" borderId="0" xfId="0" applyNumberFormat="1" applyFont="1" applyAlignment="1" applyProtection="1">
      <alignment horizontal="center"/>
      <protection hidden="1"/>
    </xf>
    <xf numFmtId="1" fontId="3" fillId="3" borderId="0" xfId="0" applyNumberFormat="1" applyFont="1" applyFill="1" applyAlignment="1" applyProtection="1">
      <alignment horizontal="left"/>
      <protection hidden="1"/>
    </xf>
    <xf numFmtId="1" fontId="3" fillId="0" borderId="51" xfId="0" applyNumberFormat="1" applyFont="1" applyBorder="1" applyAlignment="1" applyProtection="1">
      <alignment horizontal="left"/>
      <protection hidden="1"/>
    </xf>
    <xf numFmtId="1" fontId="3" fillId="0" borderId="90" xfId="0" applyNumberFormat="1" applyFont="1" applyBorder="1" applyAlignment="1" applyProtection="1">
      <alignment horizontal="left"/>
      <protection hidden="1"/>
    </xf>
    <xf numFmtId="1" fontId="3" fillId="0" borderId="148" xfId="0" applyNumberFormat="1" applyFont="1" applyBorder="1" applyAlignment="1" applyProtection="1">
      <alignment horizontal="left"/>
      <protection hidden="1"/>
    </xf>
    <xf numFmtId="0" fontId="3" fillId="0" borderId="41" xfId="0" applyFont="1" applyBorder="1" applyAlignment="1" applyProtection="1">
      <alignment horizontal="center"/>
      <protection hidden="1"/>
    </xf>
    <xf numFmtId="0" fontId="0" fillId="0" borderId="41" xfId="0" applyBorder="1" applyAlignment="1">
      <alignment horizontal="center"/>
    </xf>
    <xf numFmtId="0" fontId="3" fillId="0" borderId="119" xfId="0" applyFont="1" applyBorder="1" applyAlignment="1" applyProtection="1">
      <alignment horizontal="center"/>
      <protection hidden="1"/>
    </xf>
    <xf numFmtId="0" fontId="0" fillId="0" borderId="57" xfId="0" applyBorder="1" applyAlignment="1">
      <alignment horizontal="center"/>
    </xf>
    <xf numFmtId="0" fontId="4" fillId="0" borderId="0" xfId="0" applyFont="1" applyAlignment="1">
      <alignment horizontal="center"/>
    </xf>
    <xf numFmtId="0" fontId="3" fillId="3" borderId="0" xfId="0" applyFont="1" applyFill="1" applyBorder="1" applyAlignment="1" applyProtection="1">
      <alignment horizontal="right" vertical="center" textRotation="90"/>
      <protection hidden="1"/>
    </xf>
    <xf numFmtId="0" fontId="3" fillId="0" borderId="0" xfId="0" applyFont="1" applyBorder="1" applyAlignment="1" applyProtection="1">
      <protection locked="0"/>
    </xf>
    <xf numFmtId="0" fontId="37" fillId="0" borderId="29" xfId="0" applyFont="1" applyBorder="1" applyAlignment="1" applyProtection="1">
      <alignment horizontal="right" vertical="center"/>
      <protection hidden="1"/>
    </xf>
    <xf numFmtId="0" fontId="37" fillId="0" borderId="35" xfId="0" applyFont="1" applyBorder="1" applyAlignment="1" applyProtection="1">
      <alignment horizontal="right" vertical="center"/>
      <protection hidden="1"/>
    </xf>
    <xf numFmtId="0" fontId="37" fillId="0" borderId="31" xfId="0" applyFont="1" applyBorder="1" applyAlignment="1" applyProtection="1">
      <alignment horizontal="right" vertical="center"/>
      <protection hidden="1"/>
    </xf>
    <xf numFmtId="0" fontId="3" fillId="2" borderId="171" xfId="0" applyFont="1" applyFill="1" applyBorder="1" applyAlignment="1" applyProtection="1">
      <alignment horizontal="center"/>
      <protection hidden="1"/>
    </xf>
    <xf numFmtId="0" fontId="3" fillId="2" borderId="82" xfId="0" applyFont="1" applyFill="1" applyBorder="1" applyAlignment="1" applyProtection="1">
      <protection hidden="1"/>
    </xf>
    <xf numFmtId="0" fontId="3" fillId="2" borderId="82" xfId="0" applyFont="1" applyFill="1" applyBorder="1" applyAlignment="1" applyProtection="1">
      <alignment horizontal="center"/>
      <protection hidden="1"/>
    </xf>
    <xf numFmtId="0" fontId="49" fillId="2" borderId="116" xfId="0" applyFont="1" applyFill="1" applyBorder="1" applyAlignment="1" applyProtection="1">
      <alignment horizontal="center"/>
      <protection hidden="1"/>
    </xf>
    <xf numFmtId="0" fontId="16" fillId="3" borderId="26" xfId="0" applyFont="1" applyFill="1" applyBorder="1" applyAlignment="1" applyProtection="1">
      <alignment horizontal="center"/>
      <protection locked="0"/>
    </xf>
    <xf numFmtId="0" fontId="3" fillId="0" borderId="30" xfId="0" applyFont="1" applyBorder="1" applyAlignment="1" applyProtection="1">
      <protection hidden="1"/>
    </xf>
    <xf numFmtId="0" fontId="3" fillId="0" borderId="63" xfId="0" applyFont="1" applyBorder="1" applyAlignment="1" applyProtection="1">
      <protection locked="0"/>
    </xf>
    <xf numFmtId="0" fontId="16" fillId="6" borderId="5" xfId="0" applyFont="1" applyFill="1" applyBorder="1" applyAlignment="1" applyProtection="1">
      <alignment horizontal="center"/>
      <protection locked="0"/>
    </xf>
    <xf numFmtId="0" fontId="3" fillId="0" borderId="36" xfId="0" applyFont="1" applyBorder="1" applyAlignment="1" applyProtection="1">
      <protection hidden="1"/>
    </xf>
    <xf numFmtId="0" fontId="3" fillId="0" borderId="65" xfId="0" applyFont="1" applyBorder="1" applyAlignment="1" applyProtection="1">
      <protection locked="0"/>
    </xf>
    <xf numFmtId="0" fontId="17" fillId="4" borderId="5" xfId="0" applyFont="1" applyFill="1" applyBorder="1" applyAlignment="1" applyProtection="1">
      <alignment horizontal="center"/>
      <protection locked="0"/>
    </xf>
    <xf numFmtId="0" fontId="17" fillId="5" borderId="24" xfId="0" applyFont="1" applyFill="1" applyBorder="1" applyAlignment="1" applyProtection="1">
      <alignment horizontal="center"/>
      <protection locked="0"/>
    </xf>
    <xf numFmtId="0" fontId="3" fillId="0" borderId="32" xfId="0" applyFont="1" applyBorder="1" applyAlignment="1" applyProtection="1">
      <protection hidden="1"/>
    </xf>
    <xf numFmtId="0" fontId="3" fillId="0" borderId="68" xfId="0" applyFont="1" applyBorder="1" applyAlignment="1" applyProtection="1">
      <protection locked="0"/>
    </xf>
    <xf numFmtId="0" fontId="0" fillId="0" borderId="0" xfId="0" applyProtection="1">
      <protection hidden="1"/>
    </xf>
    <xf numFmtId="0" fontId="4" fillId="13" borderId="39" xfId="0" applyFont="1" applyFill="1" applyBorder="1" applyAlignment="1" applyProtection="1">
      <alignment horizontal="center" vertical="center"/>
      <protection locked="0"/>
    </xf>
    <xf numFmtId="0" fontId="4" fillId="13" borderId="38" xfId="0" applyFont="1" applyFill="1" applyBorder="1" applyAlignment="1" applyProtection="1">
      <alignment horizontal="center" vertical="center"/>
      <protection locked="0"/>
    </xf>
    <xf numFmtId="0" fontId="4" fillId="13" borderId="37" xfId="0" applyFont="1" applyFill="1" applyBorder="1" applyAlignment="1" applyProtection="1">
      <alignment horizontal="center" vertical="center"/>
      <protection locked="0"/>
    </xf>
    <xf numFmtId="0" fontId="3" fillId="3" borderId="0" xfId="0" applyFont="1" applyFill="1" applyAlignment="1" applyProtection="1">
      <alignment horizontal="center"/>
      <protection hidden="1"/>
    </xf>
    <xf numFmtId="0" fontId="3" fillId="0" borderId="0" xfId="0" applyFont="1" applyAlignment="1" applyProtection="1">
      <alignment horizontal="center"/>
      <protection hidden="1"/>
    </xf>
    <xf numFmtId="0" fontId="3" fillId="0" borderId="0" xfId="0" applyFont="1" applyAlignment="1" applyProtection="1">
      <alignment horizontal="left"/>
      <protection hidden="1"/>
    </xf>
    <xf numFmtId="0" fontId="3" fillId="2" borderId="105" xfId="0" applyFont="1" applyFill="1" applyBorder="1" applyAlignment="1" applyProtection="1">
      <protection hidden="1"/>
    </xf>
    <xf numFmtId="0" fontId="3" fillId="2" borderId="173" xfId="0" applyFont="1" applyFill="1" applyBorder="1" applyAlignment="1" applyProtection="1">
      <protection hidden="1"/>
    </xf>
    <xf numFmtId="0" fontId="3" fillId="13" borderId="105" xfId="0" applyFont="1" applyFill="1" applyBorder="1" applyAlignment="1" applyProtection="1">
      <protection hidden="1"/>
    </xf>
    <xf numFmtId="0" fontId="3" fillId="13" borderId="173" xfId="0" applyFont="1" applyFill="1" applyBorder="1" applyAlignment="1" applyProtection="1">
      <protection hidden="1"/>
    </xf>
    <xf numFmtId="0" fontId="0" fillId="0" borderId="0" xfId="0" applyAlignment="1">
      <alignment horizontal="center"/>
    </xf>
    <xf numFmtId="1" fontId="3" fillId="0" borderId="0" xfId="0" applyNumberFormat="1" applyFont="1" applyAlignment="1" applyProtection="1">
      <alignment horizontal="center"/>
      <protection hidden="1"/>
    </xf>
    <xf numFmtId="0" fontId="4" fillId="17" borderId="110" xfId="0" applyFont="1" applyFill="1" applyBorder="1" applyAlignment="1" applyProtection="1">
      <alignment horizontal="center"/>
      <protection hidden="1"/>
    </xf>
    <xf numFmtId="9" fontId="53" fillId="15" borderId="86" xfId="0" applyNumberFormat="1" applyFont="1" applyFill="1" applyBorder="1" applyAlignment="1" applyProtection="1">
      <alignment horizontal="center" vertical="center"/>
      <protection hidden="1"/>
    </xf>
    <xf numFmtId="9" fontId="53" fillId="16" borderId="86" xfId="0" applyNumberFormat="1" applyFont="1" applyFill="1" applyBorder="1" applyAlignment="1" applyProtection="1">
      <alignment horizontal="center" vertical="center"/>
      <protection hidden="1"/>
    </xf>
    <xf numFmtId="9" fontId="24" fillId="14" borderId="86" xfId="0" applyNumberFormat="1" applyFont="1" applyFill="1" applyBorder="1" applyAlignment="1" applyProtection="1">
      <alignment horizontal="center" vertical="center"/>
      <protection hidden="1"/>
    </xf>
    <xf numFmtId="9" fontId="24" fillId="17" borderId="110" xfId="0" applyNumberFormat="1" applyFont="1" applyFill="1" applyBorder="1" applyAlignment="1" applyProtection="1">
      <alignment horizontal="center" vertical="center"/>
      <protection hidden="1"/>
    </xf>
    <xf numFmtId="0" fontId="4" fillId="18" borderId="39" xfId="0" applyFont="1" applyFill="1" applyBorder="1" applyAlignment="1" applyProtection="1">
      <alignment horizontal="center" vertical="center"/>
      <protection locked="0"/>
    </xf>
    <xf numFmtId="0" fontId="4" fillId="18" borderId="38" xfId="0" applyFont="1" applyFill="1" applyBorder="1" applyAlignment="1" applyProtection="1">
      <alignment horizontal="center" vertical="center"/>
      <protection locked="0"/>
    </xf>
    <xf numFmtId="0" fontId="4" fillId="18" borderId="37" xfId="0" applyFont="1" applyFill="1" applyBorder="1" applyAlignment="1" applyProtection="1">
      <alignment horizontal="center" vertical="center"/>
      <protection locked="0"/>
    </xf>
    <xf numFmtId="0" fontId="3" fillId="0" borderId="0" xfId="0" applyFont="1" applyAlignment="1" applyProtection="1">
      <alignment horizontal="center"/>
      <protection hidden="1"/>
    </xf>
    <xf numFmtId="0" fontId="46" fillId="0" borderId="0" xfId="0" applyFont="1"/>
    <xf numFmtId="0" fontId="5" fillId="0" borderId="111" xfId="0" applyFont="1" applyBorder="1" applyAlignment="1">
      <alignment horizontal="center"/>
    </xf>
    <xf numFmtId="0" fontId="5" fillId="0" borderId="111" xfId="0" applyFont="1" applyBorder="1" applyAlignment="1">
      <alignment horizontal="left"/>
    </xf>
    <xf numFmtId="169" fontId="5" fillId="0" borderId="0" xfId="0" applyNumberFormat="1" applyFont="1" applyAlignment="1" applyProtection="1">
      <alignment horizontal="center"/>
      <protection hidden="1"/>
    </xf>
    <xf numFmtId="0" fontId="5" fillId="0" borderId="0" xfId="0" applyFont="1" applyAlignment="1" applyProtection="1">
      <alignment horizontal="center"/>
      <protection hidden="1"/>
    </xf>
    <xf numFmtId="169" fontId="5" fillId="0" borderId="0" xfId="0" applyNumberFormat="1" applyFont="1"/>
    <xf numFmtId="0" fontId="4" fillId="0" borderId="111" xfId="0" applyFont="1" applyBorder="1" applyAlignment="1" applyProtection="1">
      <alignment horizontal="left"/>
      <protection hidden="1"/>
    </xf>
    <xf numFmtId="0" fontId="6" fillId="0" borderId="111" xfId="0" applyFont="1" applyBorder="1" applyAlignment="1">
      <alignment horizontal="center"/>
    </xf>
    <xf numFmtId="169" fontId="6" fillId="0" borderId="0" xfId="0" applyNumberFormat="1" applyFont="1" applyAlignment="1" applyProtection="1">
      <alignment horizontal="center"/>
      <protection hidden="1"/>
    </xf>
    <xf numFmtId="169" fontId="6" fillId="0" borderId="0" xfId="0" applyNumberFormat="1" applyFont="1"/>
    <xf numFmtId="0" fontId="2" fillId="0" borderId="0" xfId="0" applyFont="1"/>
    <xf numFmtId="0" fontId="6" fillId="0" borderId="111" xfId="0" applyFont="1" applyBorder="1" applyAlignment="1" applyProtection="1">
      <alignment horizontal="left"/>
      <protection hidden="1"/>
    </xf>
    <xf numFmtId="0" fontId="4" fillId="18" borderId="145" xfId="0" applyFont="1" applyFill="1" applyBorder="1" applyAlignment="1" applyProtection="1">
      <alignment horizontal="center" vertical="center"/>
      <protection locked="0"/>
    </xf>
    <xf numFmtId="0" fontId="3" fillId="4" borderId="145" xfId="0" applyFont="1" applyFill="1" applyBorder="1" applyAlignment="1" applyProtection="1">
      <protection hidden="1"/>
    </xf>
    <xf numFmtId="0" fontId="3" fillId="0" borderId="36" xfId="0" applyFont="1" applyBorder="1" applyAlignment="1" applyProtection="1">
      <alignment horizontal="left" shrinkToFit="1"/>
      <protection locked="0"/>
    </xf>
    <xf numFmtId="0" fontId="3" fillId="0" borderId="53" xfId="0" applyFont="1" applyBorder="1" applyAlignment="1" applyProtection="1">
      <alignment horizontal="left" shrinkToFit="1"/>
      <protection locked="0"/>
    </xf>
    <xf numFmtId="0" fontId="3" fillId="0" borderId="32" xfId="0" applyFont="1" applyBorder="1" applyAlignment="1" applyProtection="1">
      <alignment horizontal="left" shrinkToFit="1"/>
      <protection locked="0"/>
    </xf>
    <xf numFmtId="0" fontId="3" fillId="0" borderId="55" xfId="0" applyFont="1" applyBorder="1" applyAlignment="1" applyProtection="1">
      <alignment horizontal="left" shrinkToFit="1"/>
      <protection locked="0"/>
    </xf>
    <xf numFmtId="0" fontId="3" fillId="0" borderId="30" xfId="0" applyFont="1" applyBorder="1" applyAlignment="1" applyProtection="1">
      <alignment horizontal="left" shrinkToFit="1"/>
      <protection locked="0"/>
    </xf>
    <xf numFmtId="0" fontId="3" fillId="0" borderId="52" xfId="0" applyFont="1" applyBorder="1" applyAlignment="1" applyProtection="1">
      <alignment horizontal="left" shrinkToFit="1"/>
      <protection locked="0"/>
    </xf>
    <xf numFmtId="0" fontId="3" fillId="0" borderId="80" xfId="11" applyFont="1" applyBorder="1" applyAlignment="1" applyProtection="1">
      <alignment horizontal="left"/>
      <protection locked="0"/>
    </xf>
    <xf numFmtId="0" fontId="3" fillId="0" borderId="17" xfId="9" applyFont="1" applyFill="1" applyBorder="1" applyAlignment="1" applyProtection="1">
      <alignment vertical="center"/>
      <protection locked="0"/>
    </xf>
    <xf numFmtId="0" fontId="3" fillId="0" borderId="17" xfId="11" applyFont="1" applyBorder="1" applyAlignment="1" applyProtection="1">
      <alignment horizontal="left"/>
      <protection locked="0"/>
    </xf>
    <xf numFmtId="0" fontId="3" fillId="0" borderId="17" xfId="0" applyFont="1" applyFill="1" applyBorder="1" applyAlignment="1" applyProtection="1">
      <alignment vertical="center"/>
      <protection locked="0"/>
    </xf>
    <xf numFmtId="0" fontId="3" fillId="0" borderId="123" xfId="9" applyFont="1" applyFill="1" applyBorder="1" applyAlignment="1" applyProtection="1">
      <alignment vertical="center"/>
      <protection locked="0"/>
    </xf>
    <xf numFmtId="0" fontId="3" fillId="0" borderId="7" xfId="0" applyFont="1" applyFill="1" applyBorder="1" applyAlignment="1" applyProtection="1">
      <alignment vertical="center"/>
      <protection locked="0"/>
    </xf>
    <xf numFmtId="0" fontId="3" fillId="0" borderId="126" xfId="0" applyFont="1" applyBorder="1" applyAlignment="1" applyProtection="1">
      <alignment horizontal="center"/>
      <protection hidden="1"/>
    </xf>
    <xf numFmtId="0" fontId="3" fillId="0" borderId="102" xfId="0" applyFont="1" applyBorder="1" applyAlignment="1" applyProtection="1">
      <alignment horizontal="center"/>
      <protection hidden="1"/>
    </xf>
    <xf numFmtId="0" fontId="3" fillId="0" borderId="36" xfId="0" applyFont="1" applyBorder="1" applyAlignment="1" applyProtection="1">
      <alignment horizontal="left" shrinkToFit="1"/>
      <protection locked="0"/>
    </xf>
    <xf numFmtId="0" fontId="3" fillId="0" borderId="53" xfId="0" applyFont="1" applyBorder="1" applyAlignment="1" applyProtection="1">
      <alignment horizontal="left" shrinkToFit="1"/>
      <protection locked="0"/>
    </xf>
    <xf numFmtId="0" fontId="3" fillId="0" borderId="32" xfId="0" applyFont="1" applyBorder="1" applyAlignment="1" applyProtection="1">
      <alignment horizontal="left" shrinkToFit="1"/>
      <protection locked="0"/>
    </xf>
    <xf numFmtId="0" fontId="3" fillId="0" borderId="55" xfId="0" applyFont="1" applyBorder="1" applyAlignment="1" applyProtection="1">
      <alignment horizontal="left" shrinkToFit="1"/>
      <protection locked="0"/>
    </xf>
    <xf numFmtId="0" fontId="3" fillId="0" borderId="30" xfId="0" applyFont="1" applyBorder="1" applyAlignment="1" applyProtection="1">
      <alignment horizontal="left" shrinkToFit="1"/>
      <protection locked="0"/>
    </xf>
    <xf numFmtId="0" fontId="3" fillId="0" borderId="52" xfId="0" applyFont="1" applyBorder="1" applyAlignment="1" applyProtection="1">
      <alignment horizontal="left" shrinkToFit="1"/>
      <protection locked="0"/>
    </xf>
    <xf numFmtId="0" fontId="3" fillId="0" borderId="0" xfId="0" applyFont="1" applyAlignment="1" applyProtection="1">
      <alignment horizontal="center" vertical="center" wrapText="1"/>
      <protection hidden="1"/>
    </xf>
    <xf numFmtId="0" fontId="3" fillId="0" borderId="0" xfId="0" applyFont="1" applyAlignment="1" applyProtection="1">
      <alignment horizontal="center"/>
      <protection hidden="1"/>
    </xf>
    <xf numFmtId="0" fontId="3" fillId="0" borderId="43" xfId="0" applyFont="1" applyBorder="1"/>
    <xf numFmtId="0" fontId="3" fillId="0" borderId="0" xfId="0" applyFont="1" applyAlignment="1" applyProtection="1">
      <alignment horizontal="center" wrapText="1"/>
      <protection hidden="1"/>
    </xf>
    <xf numFmtId="0" fontId="3" fillId="3" borderId="0" xfId="0" applyFont="1" applyFill="1" applyAlignment="1" applyProtection="1">
      <alignment horizontal="center"/>
      <protection hidden="1"/>
    </xf>
    <xf numFmtId="0" fontId="3" fillId="2" borderId="44" xfId="0" applyFont="1" applyFill="1" applyBorder="1" applyAlignment="1" applyProtection="1">
      <alignment horizontal="center"/>
      <protection hidden="1"/>
    </xf>
    <xf numFmtId="0" fontId="3" fillId="2" borderId="127" xfId="0" applyFont="1" applyFill="1" applyBorder="1" applyAlignment="1" applyProtection="1">
      <alignment horizontal="center"/>
      <protection hidden="1"/>
    </xf>
    <xf numFmtId="0" fontId="3" fillId="2" borderId="114" xfId="0" applyFont="1" applyFill="1" applyBorder="1" applyAlignment="1" applyProtection="1">
      <alignment horizontal="center"/>
      <protection hidden="1"/>
    </xf>
    <xf numFmtId="0" fontId="29" fillId="0" borderId="0" xfId="0" applyFont="1" applyAlignment="1" applyProtection="1">
      <alignment horizontal="center" vertical="center"/>
      <protection hidden="1"/>
    </xf>
    <xf numFmtId="0" fontId="3" fillId="0" borderId="0" xfId="0" applyFont="1" applyAlignment="1" applyProtection="1">
      <alignment horizontal="left"/>
      <protection hidden="1"/>
    </xf>
    <xf numFmtId="0" fontId="26" fillId="0" borderId="0" xfId="0" applyFont="1" applyAlignment="1" applyProtection="1">
      <alignment horizontal="center" vertical="center"/>
      <protection hidden="1"/>
    </xf>
    <xf numFmtId="0" fontId="39" fillId="0" borderId="126" xfId="0" applyFont="1" applyBorder="1" applyAlignment="1" applyProtection="1">
      <alignment horizontal="center" vertical="center" wrapText="1" shrinkToFit="1"/>
      <protection hidden="1"/>
    </xf>
    <xf numFmtId="0" fontId="39" fillId="0" borderId="0" xfId="0" applyFont="1" applyBorder="1" applyAlignment="1" applyProtection="1">
      <alignment horizontal="center" vertical="center" wrapText="1" shrinkToFit="1"/>
      <protection hidden="1"/>
    </xf>
    <xf numFmtId="0" fontId="52" fillId="0" borderId="0" xfId="15" applyFont="1" applyProtection="1">
      <protection hidden="1"/>
    </xf>
    <xf numFmtId="0" fontId="17" fillId="0" borderId="0" xfId="15" applyProtection="1">
      <protection hidden="1"/>
    </xf>
    <xf numFmtId="0" fontId="17" fillId="20" borderId="189" xfId="15" applyFont="1" applyFill="1" applyBorder="1" applyProtection="1">
      <protection hidden="1"/>
    </xf>
    <xf numFmtId="0" fontId="17" fillId="20" borderId="190" xfId="15" applyFont="1" applyFill="1" applyBorder="1" applyAlignment="1" applyProtection="1">
      <alignment horizontal="center"/>
      <protection hidden="1"/>
    </xf>
    <xf numFmtId="0" fontId="17" fillId="20" borderId="190" xfId="15" applyFont="1" applyFill="1" applyBorder="1" applyProtection="1">
      <protection hidden="1"/>
    </xf>
    <xf numFmtId="0" fontId="17" fillId="20" borderId="191" xfId="15" applyFont="1" applyFill="1" applyBorder="1" applyProtection="1">
      <protection hidden="1"/>
    </xf>
    <xf numFmtId="0" fontId="17" fillId="20" borderId="192" xfId="15" applyFont="1" applyFill="1" applyBorder="1" applyAlignment="1" applyProtection="1">
      <alignment horizontal="center"/>
      <protection hidden="1"/>
    </xf>
    <xf numFmtId="0" fontId="17" fillId="20" borderId="188" xfId="15" applyFont="1" applyFill="1" applyBorder="1" applyAlignment="1" applyProtection="1">
      <alignment horizontal="center"/>
      <protection hidden="1"/>
    </xf>
    <xf numFmtId="0" fontId="5" fillId="20" borderId="190" xfId="15" applyFont="1" applyFill="1" applyBorder="1" applyAlignment="1" applyProtection="1">
      <alignment horizontal="center"/>
      <protection hidden="1"/>
    </xf>
    <xf numFmtId="0" fontId="17" fillId="20" borderId="191" xfId="15" applyFont="1" applyFill="1" applyBorder="1" applyAlignment="1" applyProtection="1">
      <alignment horizontal="center"/>
      <protection hidden="1"/>
    </xf>
    <xf numFmtId="0" fontId="17" fillId="21" borderId="193" xfId="15" applyFont="1" applyFill="1" applyBorder="1" applyProtection="1">
      <protection locked="0"/>
    </xf>
    <xf numFmtId="0" fontId="5" fillId="21" borderId="194" xfId="15" applyFont="1" applyFill="1" applyBorder="1" applyAlignment="1" applyProtection="1">
      <alignment horizontal="center"/>
      <protection locked="0"/>
    </xf>
    <xf numFmtId="0" fontId="17" fillId="21" borderId="194" xfId="15" applyFont="1" applyFill="1" applyBorder="1" applyProtection="1">
      <protection locked="0"/>
    </xf>
    <xf numFmtId="0" fontId="17" fillId="21" borderId="195" xfId="15" applyFont="1" applyFill="1" applyBorder="1" applyProtection="1">
      <protection locked="0"/>
    </xf>
    <xf numFmtId="0" fontId="52" fillId="20" borderId="188" xfId="15" applyFont="1" applyFill="1" applyBorder="1" applyAlignment="1" applyProtection="1">
      <alignment horizontal="right" vertical="center"/>
      <protection hidden="1"/>
    </xf>
    <xf numFmtId="0" fontId="17" fillId="21" borderId="196" xfId="15" applyFont="1" applyFill="1" applyBorder="1" applyProtection="1">
      <protection locked="0"/>
    </xf>
    <xf numFmtId="0" fontId="5" fillId="21" borderId="197" xfId="15" applyFont="1" applyFill="1" applyBorder="1" applyAlignment="1" applyProtection="1">
      <alignment horizontal="center"/>
      <protection locked="0"/>
    </xf>
    <xf numFmtId="0" fontId="17" fillId="21" borderId="197" xfId="15" applyFont="1" applyFill="1" applyBorder="1" applyProtection="1">
      <protection locked="0"/>
    </xf>
    <xf numFmtId="0" fontId="17" fillId="21" borderId="198" xfId="15" applyFont="1" applyFill="1" applyBorder="1" applyProtection="1">
      <protection locked="0"/>
    </xf>
    <xf numFmtId="0" fontId="5" fillId="20" borderId="199" xfId="15" applyFont="1" applyFill="1" applyBorder="1" applyAlignment="1" applyProtection="1">
      <alignment horizontal="center"/>
      <protection hidden="1"/>
    </xf>
    <xf numFmtId="0" fontId="17" fillId="20" borderId="197" xfId="15" applyFill="1" applyBorder="1" applyAlignment="1" applyProtection="1">
      <alignment horizontal="center"/>
      <protection hidden="1"/>
    </xf>
    <xf numFmtId="14" fontId="17" fillId="0" borderId="0" xfId="15" applyNumberFormat="1" applyProtection="1">
      <protection hidden="1"/>
    </xf>
    <xf numFmtId="0" fontId="17" fillId="21" borderId="200" xfId="15" applyFont="1" applyFill="1" applyBorder="1" applyProtection="1">
      <protection locked="0"/>
    </xf>
    <xf numFmtId="0" fontId="5" fillId="21" borderId="203" xfId="15" applyFont="1" applyFill="1" applyBorder="1" applyAlignment="1" applyProtection="1">
      <alignment horizontal="center"/>
      <protection locked="0"/>
    </xf>
    <xf numFmtId="0" fontId="17" fillId="21" borderId="203" xfId="15" applyFill="1" applyBorder="1" applyProtection="1">
      <protection locked="0"/>
    </xf>
    <xf numFmtId="0" fontId="17" fillId="21" borderId="201" xfId="15" applyFill="1" applyBorder="1" applyProtection="1">
      <protection locked="0"/>
    </xf>
    <xf numFmtId="0" fontId="17" fillId="0" borderId="0" xfId="15" applyAlignment="1" applyProtection="1">
      <alignment horizontal="center"/>
      <protection hidden="1"/>
    </xf>
    <xf numFmtId="0" fontId="17" fillId="20" borderId="196" xfId="15" applyFill="1" applyBorder="1" applyAlignment="1" applyProtection="1">
      <alignment horizontal="center"/>
      <protection hidden="1"/>
    </xf>
    <xf numFmtId="0" fontId="17" fillId="20" borderId="204" xfId="15" applyFont="1" applyFill="1" applyBorder="1" applyAlignment="1" applyProtection="1">
      <alignment horizontal="center"/>
      <protection hidden="1"/>
    </xf>
    <xf numFmtId="0" fontId="17" fillId="20" borderId="205" xfId="15" applyFont="1" applyFill="1" applyBorder="1" applyAlignment="1" applyProtection="1">
      <alignment horizontal="center"/>
      <protection hidden="1"/>
    </xf>
    <xf numFmtId="0" fontId="5" fillId="20" borderId="206" xfId="15" applyFont="1" applyFill="1" applyBorder="1" applyAlignment="1" applyProtection="1">
      <alignment horizontal="center"/>
      <protection hidden="1"/>
    </xf>
    <xf numFmtId="0" fontId="17" fillId="20" borderId="206" xfId="15" applyFont="1" applyFill="1" applyBorder="1" applyAlignment="1" applyProtection="1">
      <alignment horizontal="center"/>
      <protection hidden="1"/>
    </xf>
    <xf numFmtId="0" fontId="17" fillId="20" borderId="207" xfId="15" applyFont="1" applyFill="1" applyBorder="1" applyAlignment="1" applyProtection="1">
      <alignment horizontal="center"/>
      <protection hidden="1"/>
    </xf>
    <xf numFmtId="0" fontId="52" fillId="20" borderId="208" xfId="15" applyFont="1" applyFill="1" applyBorder="1" applyProtection="1">
      <protection hidden="1"/>
    </xf>
    <xf numFmtId="0" fontId="5" fillId="20" borderId="209" xfId="15" applyFont="1" applyFill="1" applyBorder="1" applyAlignment="1" applyProtection="1">
      <alignment horizontal="center"/>
      <protection hidden="1"/>
    </xf>
    <xf numFmtId="0" fontId="17" fillId="20" borderId="210" xfId="15" applyFont="1" applyFill="1" applyBorder="1" applyAlignment="1" applyProtection="1">
      <alignment horizontal="center"/>
      <protection hidden="1"/>
    </xf>
    <xf numFmtId="0" fontId="17" fillId="20" borderId="211" xfId="15" applyFill="1" applyBorder="1" applyAlignment="1" applyProtection="1">
      <alignment horizontal="center"/>
      <protection hidden="1"/>
    </xf>
    <xf numFmtId="0" fontId="52" fillId="20" borderId="212" xfId="15" applyFont="1" applyFill="1" applyBorder="1" applyProtection="1">
      <protection hidden="1"/>
    </xf>
    <xf numFmtId="0" fontId="17" fillId="20" borderId="213" xfId="15" applyFill="1" applyBorder="1" applyAlignment="1" applyProtection="1">
      <alignment horizontal="center"/>
      <protection hidden="1"/>
    </xf>
    <xf numFmtId="0" fontId="52" fillId="20" borderId="214" xfId="15" applyFont="1" applyFill="1" applyBorder="1" applyProtection="1">
      <protection hidden="1"/>
    </xf>
    <xf numFmtId="0" fontId="5" fillId="20" borderId="215" xfId="15" applyFont="1" applyFill="1" applyBorder="1" applyAlignment="1" applyProtection="1">
      <alignment horizontal="center"/>
      <protection hidden="1"/>
    </xf>
    <xf numFmtId="0" fontId="17" fillId="20" borderId="216" xfId="15" applyFill="1" applyBorder="1" applyAlignment="1" applyProtection="1">
      <alignment horizontal="center"/>
      <protection hidden="1"/>
    </xf>
    <xf numFmtId="0" fontId="17" fillId="20" borderId="217" xfId="15" applyFill="1" applyBorder="1" applyAlignment="1" applyProtection="1">
      <alignment horizontal="center"/>
      <protection hidden="1"/>
    </xf>
    <xf numFmtId="0" fontId="52" fillId="20" borderId="218" xfId="15" applyFont="1" applyFill="1" applyBorder="1" applyProtection="1">
      <protection hidden="1"/>
    </xf>
    <xf numFmtId="0" fontId="5" fillId="20" borderId="202" xfId="15" applyFont="1" applyFill="1" applyBorder="1" applyAlignment="1" applyProtection="1">
      <alignment horizontal="center"/>
      <protection hidden="1"/>
    </xf>
    <xf numFmtId="0" fontId="17" fillId="20" borderId="219" xfId="15" applyFill="1" applyBorder="1" applyAlignment="1" applyProtection="1">
      <alignment horizontal="center"/>
      <protection hidden="1"/>
    </xf>
    <xf numFmtId="0" fontId="17" fillId="20" borderId="220" xfId="15" applyFill="1" applyBorder="1" applyAlignment="1" applyProtection="1">
      <alignment horizontal="center"/>
      <protection hidden="1"/>
    </xf>
    <xf numFmtId="0" fontId="17" fillId="23" borderId="209" xfId="15" applyFont="1" applyFill="1" applyBorder="1" applyProtection="1">
      <protection locked="0"/>
    </xf>
    <xf numFmtId="0" fontId="17" fillId="23" borderId="199" xfId="15" applyFont="1" applyFill="1" applyBorder="1" applyProtection="1">
      <protection locked="0"/>
    </xf>
    <xf numFmtId="0" fontId="17" fillId="23" borderId="215" xfId="15" applyFont="1" applyFill="1" applyBorder="1" applyProtection="1">
      <protection locked="0"/>
    </xf>
    <xf numFmtId="0" fontId="17" fillId="23" borderId="202" xfId="15" applyFont="1" applyFill="1" applyBorder="1" applyProtection="1">
      <protection locked="0"/>
    </xf>
    <xf numFmtId="0" fontId="15" fillId="0" borderId="33" xfId="0" applyNumberFormat="1" applyFont="1" applyBorder="1" applyAlignment="1" applyProtection="1">
      <alignment horizontal="center" vertical="center"/>
      <protection hidden="1"/>
    </xf>
    <xf numFmtId="0" fontId="15" fillId="0" borderId="35" xfId="0" applyNumberFormat="1" applyFont="1" applyBorder="1" applyAlignment="1" applyProtection="1">
      <alignment horizontal="center" vertical="center"/>
      <protection hidden="1"/>
    </xf>
    <xf numFmtId="0" fontId="14" fillId="0" borderId="29" xfId="0" applyNumberFormat="1" applyFont="1" applyBorder="1" applyAlignment="1" applyProtection="1">
      <alignment horizontal="right" vertical="center"/>
      <protection hidden="1"/>
    </xf>
    <xf numFmtId="0" fontId="14" fillId="0" borderId="33" xfId="0" applyNumberFormat="1" applyFont="1" applyBorder="1" applyAlignment="1" applyProtection="1">
      <alignment horizontal="right" vertical="center"/>
      <protection hidden="1"/>
    </xf>
    <xf numFmtId="1" fontId="14" fillId="0" borderId="29" xfId="0" applyNumberFormat="1" applyFont="1" applyBorder="1" applyAlignment="1" applyProtection="1">
      <alignment horizontal="right" vertical="center"/>
      <protection hidden="1"/>
    </xf>
    <xf numFmtId="1" fontId="14" fillId="0" borderId="35" xfId="0" applyNumberFormat="1" applyFont="1" applyBorder="1" applyAlignment="1" applyProtection="1">
      <alignment horizontal="right" vertical="center"/>
      <protection hidden="1"/>
    </xf>
    <xf numFmtId="1" fontId="14" fillId="0" borderId="33" xfId="0" applyNumberFormat="1" applyFont="1" applyBorder="1" applyAlignment="1" applyProtection="1">
      <alignment horizontal="right" vertical="center"/>
      <protection hidden="1"/>
    </xf>
    <xf numFmtId="0" fontId="56" fillId="0" borderId="51" xfId="0" applyFont="1" applyBorder="1" applyAlignment="1" applyProtection="1">
      <alignment horizontal="center"/>
      <protection hidden="1"/>
    </xf>
    <xf numFmtId="0" fontId="56" fillId="3" borderId="0" xfId="0" applyFont="1" applyFill="1" applyAlignment="1" applyProtection="1">
      <alignment horizontal="center"/>
      <protection hidden="1"/>
    </xf>
    <xf numFmtId="0" fontId="56" fillId="0" borderId="0" xfId="0" applyFont="1" applyAlignment="1" applyProtection="1">
      <alignment horizontal="center"/>
      <protection hidden="1"/>
    </xf>
    <xf numFmtId="0" fontId="56" fillId="0" borderId="100" xfId="0" applyFont="1" applyBorder="1" applyAlignment="1" applyProtection="1">
      <alignment horizontal="center"/>
      <protection hidden="1"/>
    </xf>
    <xf numFmtId="0" fontId="56" fillId="0" borderId="5" xfId="0" applyFont="1" applyBorder="1" applyAlignment="1" applyProtection="1">
      <alignment horizontal="center"/>
      <protection hidden="1"/>
    </xf>
    <xf numFmtId="0" fontId="3" fillId="2" borderId="65" xfId="0" quotePrefix="1" applyNumberFormat="1" applyFont="1" applyFill="1" applyBorder="1" applyAlignment="1" applyProtection="1">
      <alignment horizontal="center" vertical="center"/>
      <protection hidden="1"/>
    </xf>
    <xf numFmtId="0" fontId="3" fillId="2" borderId="221" xfId="0" quotePrefix="1" applyNumberFormat="1" applyFont="1" applyFill="1" applyBorder="1" applyAlignment="1" applyProtection="1">
      <alignment horizontal="center" vertical="center"/>
      <protection hidden="1"/>
    </xf>
    <xf numFmtId="0" fontId="3" fillId="2" borderId="221" xfId="0" applyNumberFormat="1" applyFont="1" applyFill="1" applyBorder="1" applyAlignment="1" applyProtection="1">
      <alignment horizontal="center" vertical="center"/>
      <protection hidden="1"/>
    </xf>
    <xf numFmtId="0" fontId="24" fillId="0" borderId="0" xfId="0" applyFont="1" applyAlignment="1" applyProtection="1">
      <alignment vertical="center"/>
      <protection hidden="1"/>
    </xf>
    <xf numFmtId="0" fontId="3" fillId="19" borderId="39" xfId="0" applyFont="1" applyFill="1" applyBorder="1" applyAlignment="1" applyProtection="1">
      <alignment horizontal="center" vertical="center"/>
      <protection hidden="1"/>
    </xf>
    <xf numFmtId="0" fontId="3" fillId="19" borderId="29" xfId="0" applyFont="1" applyFill="1" applyBorder="1" applyAlignment="1" applyProtection="1">
      <alignment horizontal="center" vertical="center"/>
      <protection hidden="1"/>
    </xf>
    <xf numFmtId="172" fontId="5" fillId="19" borderId="106" xfId="0" applyNumberFormat="1" applyFont="1" applyFill="1" applyBorder="1" applyAlignment="1" applyProtection="1">
      <alignment horizontal="center" vertical="center"/>
      <protection hidden="1"/>
    </xf>
    <xf numFmtId="0" fontId="5" fillId="19" borderId="30" xfId="0" applyFont="1" applyFill="1" applyBorder="1" applyAlignment="1" applyProtection="1">
      <alignment vertical="center"/>
      <protection hidden="1"/>
    </xf>
    <xf numFmtId="0" fontId="3" fillId="19" borderId="69" xfId="0" applyNumberFormat="1" applyFont="1" applyFill="1" applyBorder="1" applyAlignment="1" applyProtection="1">
      <alignment horizontal="center" vertical="center"/>
      <protection hidden="1"/>
    </xf>
    <xf numFmtId="0" fontId="3" fillId="19" borderId="95" xfId="0" applyNumberFormat="1" applyFont="1" applyFill="1" applyBorder="1" applyAlignment="1" applyProtection="1">
      <alignment horizontal="center" vertical="center"/>
      <protection hidden="1"/>
    </xf>
    <xf numFmtId="0" fontId="3" fillId="19" borderId="38" xfId="0" applyFont="1" applyFill="1" applyBorder="1" applyAlignment="1" applyProtection="1">
      <alignment horizontal="center" vertical="center"/>
      <protection hidden="1"/>
    </xf>
    <xf numFmtId="0" fontId="3" fillId="19" borderId="35" xfId="0" applyFont="1" applyFill="1" applyBorder="1" applyAlignment="1" applyProtection="1">
      <alignment horizontal="center" vertical="center"/>
      <protection hidden="1"/>
    </xf>
    <xf numFmtId="172" fontId="6" fillId="19" borderId="87" xfId="0" applyNumberFormat="1" applyFont="1" applyFill="1" applyBorder="1" applyAlignment="1" applyProtection="1">
      <alignment horizontal="center" vertical="center"/>
      <protection hidden="1"/>
    </xf>
    <xf numFmtId="0" fontId="3" fillId="19" borderId="53" xfId="0" applyFont="1" applyFill="1" applyBorder="1" applyAlignment="1" applyProtection="1">
      <alignment vertical="center"/>
      <protection hidden="1"/>
    </xf>
    <xf numFmtId="0" fontId="3" fillId="19" borderId="64" xfId="0" applyNumberFormat="1" applyFont="1" applyFill="1" applyBorder="1" applyAlignment="1" applyProtection="1">
      <alignment horizontal="center" vertical="center"/>
      <protection hidden="1"/>
    </xf>
    <xf numFmtId="0" fontId="3" fillId="19" borderId="65" xfId="0" applyNumberFormat="1" applyFont="1" applyFill="1" applyBorder="1" applyAlignment="1" applyProtection="1">
      <alignment horizontal="center" vertical="center"/>
      <protection hidden="1"/>
    </xf>
    <xf numFmtId="0" fontId="3" fillId="19" borderId="37" xfId="0" applyFont="1" applyFill="1" applyBorder="1" applyAlignment="1" applyProtection="1">
      <alignment horizontal="center" vertical="center"/>
      <protection hidden="1"/>
    </xf>
    <xf numFmtId="0" fontId="3" fillId="19" borderId="31" xfId="0" applyFont="1" applyFill="1" applyBorder="1" applyAlignment="1" applyProtection="1">
      <alignment horizontal="center" vertical="center"/>
      <protection hidden="1"/>
    </xf>
    <xf numFmtId="172" fontId="6" fillId="19" borderId="89" xfId="0" applyNumberFormat="1" applyFont="1" applyFill="1" applyBorder="1" applyAlignment="1" applyProtection="1">
      <alignment horizontal="center" vertical="center"/>
      <protection hidden="1"/>
    </xf>
    <xf numFmtId="0" fontId="3" fillId="19" borderId="55" xfId="0" applyFont="1" applyFill="1" applyBorder="1" applyAlignment="1" applyProtection="1">
      <alignment vertical="center"/>
      <protection hidden="1"/>
    </xf>
    <xf numFmtId="0" fontId="3" fillId="19" borderId="66" xfId="0" applyNumberFormat="1" applyFont="1" applyFill="1" applyBorder="1" applyAlignment="1" applyProtection="1">
      <alignment horizontal="center" vertical="center"/>
      <protection hidden="1"/>
    </xf>
    <xf numFmtId="0" fontId="3" fillId="19" borderId="68" xfId="0" applyNumberFormat="1" applyFont="1" applyFill="1" applyBorder="1" applyAlignment="1" applyProtection="1">
      <alignment horizontal="center" vertical="center"/>
      <protection hidden="1"/>
    </xf>
    <xf numFmtId="0" fontId="3" fillId="19" borderId="40" xfId="0" applyFont="1" applyFill="1" applyBorder="1" applyAlignment="1" applyProtection="1">
      <alignment horizontal="center" vertical="center"/>
      <protection hidden="1"/>
    </xf>
    <xf numFmtId="0" fontId="3" fillId="19" borderId="33" xfId="0" applyFont="1" applyFill="1" applyBorder="1" applyAlignment="1" applyProtection="1">
      <alignment horizontal="center" vertical="center"/>
      <protection hidden="1"/>
    </xf>
    <xf numFmtId="172" fontId="6" fillId="19" borderId="88" xfId="0" applyNumberFormat="1" applyFont="1" applyFill="1" applyBorder="1" applyAlignment="1" applyProtection="1">
      <alignment horizontal="center" vertical="center"/>
      <protection hidden="1"/>
    </xf>
    <xf numFmtId="0" fontId="3" fillId="19" borderId="54" xfId="0" applyFont="1" applyFill="1" applyBorder="1" applyAlignment="1" applyProtection="1">
      <alignment vertical="center"/>
      <protection hidden="1"/>
    </xf>
    <xf numFmtId="0" fontId="3" fillId="19" borderId="62" xfId="0" applyNumberFormat="1" applyFont="1" applyFill="1" applyBorder="1" applyAlignment="1" applyProtection="1">
      <alignment horizontal="center" vertical="center"/>
      <protection hidden="1"/>
    </xf>
    <xf numFmtId="0" fontId="3" fillId="19" borderId="63" xfId="0" applyNumberFormat="1" applyFont="1" applyFill="1" applyBorder="1" applyAlignment="1" applyProtection="1">
      <alignment horizontal="center" vertical="center"/>
      <protection hidden="1"/>
    </xf>
    <xf numFmtId="0" fontId="24" fillId="0" borderId="0" xfId="0" applyFont="1" applyAlignment="1" applyProtection="1">
      <protection locked="0"/>
    </xf>
    <xf numFmtId="0" fontId="24" fillId="0" borderId="0" xfId="0" applyFont="1" applyAlignment="1" applyProtection="1">
      <protection hidden="1"/>
    </xf>
    <xf numFmtId="0" fontId="14" fillId="15" borderId="0" xfId="0" applyFont="1" applyFill="1" applyProtection="1">
      <protection hidden="1"/>
    </xf>
    <xf numFmtId="0" fontId="3" fillId="0" borderId="158" xfId="0" applyFont="1" applyBorder="1" applyAlignment="1" applyProtection="1">
      <alignment horizontal="center"/>
      <protection hidden="1"/>
    </xf>
    <xf numFmtId="0" fontId="3" fillId="0" borderId="120" xfId="0" applyFont="1" applyBorder="1" applyAlignment="1" applyProtection="1">
      <alignment horizontal="center"/>
      <protection hidden="1"/>
    </xf>
    <xf numFmtId="0" fontId="3" fillId="0" borderId="162" xfId="0" applyFont="1" applyBorder="1" applyAlignment="1" applyProtection="1">
      <alignment horizontal="center"/>
      <protection hidden="1"/>
    </xf>
    <xf numFmtId="0" fontId="3" fillId="0" borderId="157" xfId="0" applyFont="1" applyBorder="1" applyAlignment="1" applyProtection="1">
      <protection hidden="1"/>
    </xf>
    <xf numFmtId="0" fontId="3" fillId="0" borderId="157" xfId="0" applyFont="1" applyBorder="1" applyAlignment="1" applyProtection="1">
      <alignment horizontal="center"/>
      <protection hidden="1"/>
    </xf>
    <xf numFmtId="0" fontId="3" fillId="0" borderId="161" xfId="0" applyFont="1" applyBorder="1" applyAlignment="1" applyProtection="1">
      <protection hidden="1"/>
    </xf>
    <xf numFmtId="0" fontId="3" fillId="0" borderId="161" xfId="0" applyFont="1" applyBorder="1" applyAlignment="1" applyProtection="1">
      <alignment horizontal="center"/>
      <protection hidden="1"/>
    </xf>
    <xf numFmtId="0" fontId="3" fillId="0" borderId="172" xfId="0" applyFont="1" applyBorder="1" applyAlignment="1" applyProtection="1">
      <alignment horizontal="center"/>
      <protection hidden="1"/>
    </xf>
    <xf numFmtId="0" fontId="3" fillId="0" borderId="174" xfId="0" applyFont="1" applyBorder="1" applyAlignment="1" applyProtection="1">
      <alignment horizontal="center"/>
      <protection hidden="1"/>
    </xf>
    <xf numFmtId="0" fontId="3" fillId="0" borderId="176" xfId="0" applyFont="1" applyBorder="1" applyAlignment="1" applyProtection="1">
      <alignment horizontal="center"/>
      <protection hidden="1"/>
    </xf>
    <xf numFmtId="0" fontId="3" fillId="0" borderId="156" xfId="0" applyFont="1" applyBorder="1" applyAlignment="1" applyProtection="1">
      <alignment horizontal="center"/>
      <protection hidden="1"/>
    </xf>
    <xf numFmtId="0" fontId="3" fillId="0" borderId="159" xfId="0" applyFont="1" applyBorder="1" applyAlignment="1" applyProtection="1">
      <alignment horizontal="center"/>
      <protection hidden="1"/>
    </xf>
    <xf numFmtId="0" fontId="3" fillId="0" borderId="160" xfId="0" applyFont="1" applyBorder="1" applyAlignment="1" applyProtection="1">
      <alignment horizontal="center"/>
      <protection hidden="1"/>
    </xf>
    <xf numFmtId="0" fontId="3" fillId="0" borderId="158" xfId="0" quotePrefix="1" applyFont="1" applyBorder="1" applyAlignment="1" applyProtection="1">
      <alignment horizontal="center"/>
      <protection hidden="1"/>
    </xf>
    <xf numFmtId="0" fontId="3" fillId="0" borderId="158" xfId="0" quotePrefix="1" applyFont="1" applyBorder="1" applyAlignment="1" applyProtection="1">
      <alignment horizontal="left"/>
      <protection hidden="1"/>
    </xf>
    <xf numFmtId="0" fontId="3" fillId="0" borderId="26" xfId="0" applyFont="1" applyBorder="1" applyAlignment="1">
      <alignment horizontal="center"/>
    </xf>
    <xf numFmtId="0" fontId="3" fillId="0" borderId="5" xfId="0" applyFont="1" applyBorder="1" applyAlignment="1">
      <alignment horizontal="center"/>
    </xf>
    <xf numFmtId="0" fontId="3" fillId="0" borderId="24" xfId="0" applyFont="1" applyBorder="1" applyAlignment="1">
      <alignment horizontal="center"/>
    </xf>
    <xf numFmtId="0" fontId="3" fillId="0" borderId="70" xfId="0" applyFont="1" applyBorder="1" applyAlignment="1">
      <alignment horizontal="center"/>
    </xf>
    <xf numFmtId="0" fontId="3" fillId="0" borderId="6" xfId="0" applyFont="1" applyBorder="1" applyAlignment="1">
      <alignment horizontal="center"/>
    </xf>
    <xf numFmtId="1" fontId="3" fillId="0" borderId="26" xfId="0" applyNumberFormat="1" applyFont="1" applyBorder="1"/>
    <xf numFmtId="0" fontId="3" fillId="15" borderId="0" xfId="0" applyFont="1" applyFill="1" applyAlignment="1" applyProtection="1">
      <protection hidden="1"/>
    </xf>
    <xf numFmtId="0" fontId="3" fillId="15" borderId="0" xfId="0" applyFont="1" applyFill="1" applyAlignment="1" applyProtection="1">
      <alignment horizontal="center"/>
      <protection hidden="1"/>
    </xf>
    <xf numFmtId="0" fontId="3" fillId="0" borderId="0" xfId="0" applyFont="1" applyBorder="1" applyAlignment="1" applyProtection="1">
      <alignment horizontal="center" vertical="center" wrapText="1"/>
      <protection hidden="1"/>
    </xf>
    <xf numFmtId="0" fontId="17" fillId="23" borderId="188" xfId="15" applyFont="1" applyFill="1" applyBorder="1" applyAlignment="1" applyProtection="1">
      <alignment horizontal="left" vertical="center" shrinkToFit="1"/>
      <protection locked="0"/>
    </xf>
    <xf numFmtId="0" fontId="17" fillId="23" borderId="188" xfId="15" applyFont="1" applyFill="1" applyBorder="1" applyAlignment="1" applyProtection="1">
      <alignment horizontal="left" vertical="center"/>
      <protection locked="0"/>
    </xf>
    <xf numFmtId="0" fontId="17" fillId="22" borderId="209" xfId="15" applyFont="1" applyFill="1" applyBorder="1" applyProtection="1">
      <protection hidden="1"/>
    </xf>
    <xf numFmtId="0" fontId="17" fillId="22" borderId="199" xfId="15" applyFont="1" applyFill="1" applyBorder="1" applyProtection="1">
      <protection hidden="1"/>
    </xf>
    <xf numFmtId="0" fontId="17" fillId="22" borderId="215" xfId="15" applyFont="1" applyFill="1" applyBorder="1" applyProtection="1">
      <protection hidden="1"/>
    </xf>
    <xf numFmtId="0" fontId="17" fillId="22" borderId="202" xfId="15" applyFont="1" applyFill="1" applyBorder="1" applyProtection="1">
      <protection hidden="1"/>
    </xf>
    <xf numFmtId="0" fontId="4" fillId="13" borderId="39" xfId="0" applyFont="1" applyFill="1" applyBorder="1" applyAlignment="1" applyProtection="1">
      <alignment horizontal="center" vertical="center"/>
      <protection hidden="1"/>
    </xf>
    <xf numFmtId="0" fontId="4" fillId="13" borderId="38" xfId="0" applyFont="1" applyFill="1" applyBorder="1" applyAlignment="1" applyProtection="1">
      <alignment horizontal="center" vertical="center"/>
      <protection hidden="1"/>
    </xf>
    <xf numFmtId="0" fontId="4" fillId="13" borderId="37" xfId="0" applyFont="1" applyFill="1" applyBorder="1" applyAlignment="1" applyProtection="1">
      <alignment horizontal="center" vertical="center"/>
      <protection hidden="1"/>
    </xf>
    <xf numFmtId="0" fontId="38" fillId="0" borderId="0" xfId="2" applyNumberFormat="1" applyFont="1" applyFill="1" applyBorder="1" applyAlignment="1" applyProtection="1">
      <alignment horizontal="center"/>
      <protection hidden="1"/>
    </xf>
    <xf numFmtId="0" fontId="3" fillId="0" borderId="0" xfId="15" applyFont="1" applyAlignment="1" applyProtection="1">
      <protection hidden="1"/>
    </xf>
    <xf numFmtId="0" fontId="12" fillId="0" borderId="222" xfId="15" applyFont="1" applyBorder="1" applyProtection="1">
      <protection hidden="1"/>
    </xf>
    <xf numFmtId="0" fontId="11" fillId="0" borderId="0" xfId="0" applyFont="1" applyAlignment="1" applyProtection="1">
      <protection hidden="1"/>
    </xf>
    <xf numFmtId="0" fontId="3" fillId="0" borderId="0" xfId="15" applyFont="1" applyBorder="1" applyProtection="1">
      <protection hidden="1"/>
    </xf>
    <xf numFmtId="0" fontId="3" fillId="0" borderId="222" xfId="15" applyFont="1" applyBorder="1" applyProtection="1">
      <protection hidden="1"/>
    </xf>
    <xf numFmtId="0" fontId="4" fillId="0" borderId="222" xfId="15" applyFont="1" applyBorder="1" applyProtection="1">
      <protection hidden="1"/>
    </xf>
    <xf numFmtId="0" fontId="3" fillId="0" borderId="224" xfId="15" applyFont="1" applyBorder="1" applyProtection="1">
      <protection hidden="1"/>
    </xf>
    <xf numFmtId="0" fontId="38" fillId="0" borderId="0" xfId="2" applyNumberFormat="1" applyFont="1" applyFill="1" applyBorder="1" applyAlignment="1" applyProtection="1">
      <protection hidden="1"/>
    </xf>
    <xf numFmtId="0" fontId="3" fillId="0" borderId="0" xfId="15" applyFont="1" applyProtection="1">
      <protection hidden="1"/>
    </xf>
    <xf numFmtId="0" fontId="4" fillId="0" borderId="119" xfId="0" applyFont="1" applyBorder="1" applyAlignment="1" applyProtection="1">
      <protection hidden="1"/>
    </xf>
    <xf numFmtId="0" fontId="3" fillId="0" borderId="0" xfId="0" applyFont="1" applyBorder="1" applyAlignment="1" applyProtection="1">
      <alignment horizontal="left" vertical="top"/>
      <protection hidden="1"/>
    </xf>
    <xf numFmtId="0" fontId="3" fillId="0" borderId="41" xfId="0" applyFont="1" applyBorder="1" applyAlignment="1" applyProtection="1">
      <alignment horizontal="left" vertical="top"/>
      <protection hidden="1"/>
    </xf>
    <xf numFmtId="0" fontId="3" fillId="0" borderId="0" xfId="0" applyFont="1" applyBorder="1" applyAlignment="1" applyProtection="1">
      <alignment vertical="center"/>
      <protection hidden="1"/>
    </xf>
    <xf numFmtId="0" fontId="4" fillId="0" borderId="0" xfId="0" applyFont="1" applyBorder="1" applyAlignment="1" applyProtection="1">
      <protection hidden="1"/>
    </xf>
    <xf numFmtId="0" fontId="24" fillId="0" borderId="44" xfId="0" applyFont="1" applyBorder="1" applyAlignment="1" applyProtection="1">
      <alignment horizontal="center"/>
      <protection hidden="1"/>
    </xf>
    <xf numFmtId="0" fontId="24" fillId="0" borderId="114" xfId="0" applyFont="1" applyBorder="1" applyAlignment="1" applyProtection="1">
      <alignment horizontal="center"/>
      <protection hidden="1"/>
    </xf>
    <xf numFmtId="49" fontId="5" fillId="0" borderId="66" xfId="0" applyNumberFormat="1" applyFont="1" applyBorder="1" applyAlignment="1" applyProtection="1">
      <alignment horizontal="center"/>
      <protection locked="0"/>
    </xf>
    <xf numFmtId="1" fontId="14" fillId="0" borderId="55" xfId="0" applyNumberFormat="1" applyFont="1" applyBorder="1" applyAlignment="1" applyProtection="1">
      <alignment horizontal="left" vertical="center"/>
      <protection hidden="1"/>
    </xf>
    <xf numFmtId="1" fontId="14" fillId="0" borderId="123" xfId="0" applyNumberFormat="1" applyFont="1" applyBorder="1" applyAlignment="1" applyProtection="1">
      <alignment horizontal="right" vertical="center"/>
      <protection hidden="1"/>
    </xf>
    <xf numFmtId="1" fontId="14" fillId="0" borderId="47" xfId="0" applyNumberFormat="1" applyFont="1" applyBorder="1" applyAlignment="1" applyProtection="1">
      <alignment horizontal="left" vertical="center"/>
      <protection hidden="1"/>
    </xf>
    <xf numFmtId="1" fontId="14" fillId="0" borderId="31" xfId="0" applyNumberFormat="1" applyFont="1" applyBorder="1" applyAlignment="1" applyProtection="1">
      <alignment horizontal="right" vertical="center"/>
      <protection hidden="1"/>
    </xf>
    <xf numFmtId="0" fontId="15" fillId="0" borderId="38" xfId="0" applyNumberFormat="1" applyFont="1" applyBorder="1" applyAlignment="1" applyProtection="1">
      <alignment horizontal="center" vertical="center"/>
      <protection hidden="1"/>
    </xf>
    <xf numFmtId="0" fontId="3" fillId="0" borderId="0" xfId="0" applyFont="1" applyAlignment="1" applyProtection="1">
      <alignment vertical="center" wrapText="1"/>
      <protection hidden="1"/>
    </xf>
    <xf numFmtId="0" fontId="5" fillId="9" borderId="62" xfId="0" applyFont="1" applyFill="1" applyBorder="1" applyAlignment="1" applyProtection="1">
      <protection locked="0"/>
    </xf>
    <xf numFmtId="0" fontId="5" fillId="9" borderId="64" xfId="0" applyFont="1" applyFill="1" applyBorder="1" applyAlignment="1" applyProtection="1">
      <protection locked="0"/>
    </xf>
    <xf numFmtId="0" fontId="5" fillId="9" borderId="66" xfId="0" applyFont="1" applyFill="1" applyBorder="1" applyAlignment="1" applyProtection="1">
      <protection locked="0"/>
    </xf>
    <xf numFmtId="0" fontId="54" fillId="9" borderId="62" xfId="0" applyFont="1" applyFill="1" applyBorder="1" applyAlignment="1" applyProtection="1">
      <protection locked="0"/>
    </xf>
    <xf numFmtId="0" fontId="54" fillId="9" borderId="64" xfId="0" applyFont="1" applyFill="1" applyBorder="1" applyAlignment="1" applyProtection="1">
      <protection locked="0"/>
    </xf>
    <xf numFmtId="0" fontId="54" fillId="9" borderId="66" xfId="0" applyFont="1" applyFill="1" applyBorder="1" applyAlignment="1" applyProtection="1">
      <protection locked="0"/>
    </xf>
    <xf numFmtId="0" fontId="21" fillId="0" borderId="118" xfId="0" applyFont="1" applyFill="1" applyBorder="1" applyAlignment="1" applyProtection="1">
      <alignment horizontal="left"/>
      <protection hidden="1"/>
    </xf>
    <xf numFmtId="0" fontId="59" fillId="0" borderId="126" xfId="0" applyFont="1" applyBorder="1" applyProtection="1">
      <protection hidden="1"/>
    </xf>
    <xf numFmtId="0" fontId="21" fillId="0" borderId="126" xfId="0" applyFont="1" applyFill="1" applyBorder="1" applyAlignment="1" applyProtection="1">
      <alignment horizontal="left"/>
      <protection hidden="1"/>
    </xf>
    <xf numFmtId="0" fontId="60" fillId="0" borderId="126" xfId="0" applyFont="1" applyBorder="1"/>
    <xf numFmtId="0" fontId="21" fillId="0" borderId="102" xfId="0" applyFont="1" applyFill="1" applyBorder="1" applyAlignment="1" applyProtection="1">
      <alignment horizontal="left"/>
      <protection hidden="1"/>
    </xf>
    <xf numFmtId="0" fontId="21" fillId="0" borderId="119" xfId="0" applyFont="1" applyBorder="1" applyAlignment="1" applyProtection="1">
      <alignment horizontal="left"/>
      <protection hidden="1"/>
    </xf>
    <xf numFmtId="0" fontId="59" fillId="0" borderId="0" xfId="0" applyFont="1" applyBorder="1" applyProtection="1">
      <protection hidden="1"/>
    </xf>
    <xf numFmtId="0" fontId="21" fillId="0" borderId="0" xfId="0" applyFont="1" applyBorder="1" applyAlignment="1" applyProtection="1">
      <alignment horizontal="left"/>
      <protection hidden="1"/>
    </xf>
    <xf numFmtId="0" fontId="60" fillId="0" borderId="0" xfId="0" applyFont="1" applyBorder="1"/>
    <xf numFmtId="0" fontId="21" fillId="0" borderId="41" xfId="0" applyFont="1" applyBorder="1" applyAlignment="1" applyProtection="1">
      <alignment horizontal="left"/>
      <protection hidden="1"/>
    </xf>
    <xf numFmtId="0" fontId="21" fillId="0" borderId="115" xfId="0" applyFont="1" applyFill="1" applyBorder="1" applyAlignment="1" applyProtection="1">
      <alignment horizontal="left"/>
      <protection hidden="1"/>
    </xf>
    <xf numFmtId="0" fontId="59" fillId="0" borderId="43" xfId="0" applyFont="1" applyBorder="1" applyProtection="1">
      <protection hidden="1"/>
    </xf>
    <xf numFmtId="0" fontId="21" fillId="0" borderId="43" xfId="0" applyFont="1" applyFill="1" applyBorder="1" applyAlignment="1" applyProtection="1">
      <alignment horizontal="left"/>
      <protection hidden="1"/>
    </xf>
    <xf numFmtId="0" fontId="60" fillId="0" borderId="43" xfId="0" applyFont="1" applyBorder="1"/>
    <xf numFmtId="0" fontId="21" fillId="0" borderId="57" xfId="0" applyFont="1" applyFill="1" applyBorder="1" applyAlignment="1" applyProtection="1">
      <alignment horizontal="left"/>
      <protection hidden="1"/>
    </xf>
    <xf numFmtId="0" fontId="3" fillId="0" borderId="0" xfId="0" applyFont="1" applyAlignment="1" applyProtection="1">
      <alignment horizontal="center" vertical="center" wrapText="1"/>
      <protection hidden="1"/>
    </xf>
    <xf numFmtId="0" fontId="40" fillId="0" borderId="0" xfId="0" applyFont="1" applyAlignment="1" applyProtection="1">
      <alignment horizontal="center" shrinkToFit="1"/>
      <protection hidden="1"/>
    </xf>
    <xf numFmtId="0" fontId="25" fillId="0" borderId="0" xfId="0" applyFont="1" applyAlignment="1" applyProtection="1">
      <alignment horizontal="center" vertical="center" wrapText="1"/>
      <protection hidden="1"/>
    </xf>
    <xf numFmtId="0" fontId="31" fillId="0" borderId="0" xfId="0" applyFont="1" applyBorder="1" applyAlignment="1" applyProtection="1">
      <alignment horizontal="left"/>
      <protection hidden="1"/>
    </xf>
    <xf numFmtId="0" fontId="4" fillId="0" borderId="110" xfId="0" applyFont="1" applyBorder="1" applyAlignment="1"/>
    <xf numFmtId="0" fontId="4" fillId="0" borderId="127" xfId="0" applyFont="1" applyBorder="1" applyAlignment="1" applyProtection="1">
      <alignment horizontal="center"/>
      <protection hidden="1"/>
    </xf>
    <xf numFmtId="0" fontId="50" fillId="25" borderId="137" xfId="0" applyFont="1" applyFill="1" applyBorder="1" applyAlignment="1" applyProtection="1">
      <alignment horizontal="center"/>
      <protection locked="0"/>
    </xf>
    <xf numFmtId="0" fontId="50" fillId="25" borderId="138" xfId="0" applyFont="1" applyFill="1" applyBorder="1" applyAlignment="1" applyProtection="1">
      <alignment horizontal="center"/>
      <protection locked="0"/>
    </xf>
    <xf numFmtId="0" fontId="50" fillId="25" borderId="139" xfId="0" applyFont="1" applyFill="1" applyBorder="1" applyAlignment="1" applyProtection="1">
      <alignment horizontal="center"/>
      <protection locked="0"/>
    </xf>
    <xf numFmtId="0" fontId="50" fillId="25" borderId="143" xfId="0" applyFont="1" applyFill="1" applyBorder="1" applyAlignment="1" applyProtection="1">
      <alignment horizontal="center"/>
      <protection locked="0"/>
    </xf>
    <xf numFmtId="0" fontId="3" fillId="0" borderId="111" xfId="0" applyFont="1" applyBorder="1"/>
    <xf numFmtId="0" fontId="54" fillId="0" borderId="111" xfId="0" applyFont="1" applyBorder="1"/>
    <xf numFmtId="0" fontId="54" fillId="0" borderId="111" xfId="0" applyFont="1" applyBorder="1" applyProtection="1">
      <protection hidden="1"/>
    </xf>
    <xf numFmtId="0" fontId="24" fillId="0" borderId="10" xfId="0" applyFont="1" applyBorder="1" applyAlignment="1" applyProtection="1">
      <alignment horizontal="center"/>
      <protection hidden="1"/>
    </xf>
    <xf numFmtId="0" fontId="24" fillId="0" borderId="0" xfId="0" applyFont="1" applyBorder="1" applyAlignment="1" applyProtection="1">
      <alignment horizontal="center" vertical="center"/>
      <protection locked="0"/>
    </xf>
    <xf numFmtId="0" fontId="24" fillId="0" borderId="41" xfId="0" applyFont="1" applyBorder="1" applyAlignment="1" applyProtection="1">
      <alignment horizontal="center" vertical="center"/>
      <protection locked="0"/>
    </xf>
    <xf numFmtId="0" fontId="3" fillId="0" borderId="0" xfId="0" applyFont="1" applyAlignment="1" applyProtection="1">
      <alignment horizontal="left"/>
      <protection hidden="1"/>
    </xf>
    <xf numFmtId="1" fontId="5" fillId="19" borderId="39" xfId="0" applyNumberFormat="1" applyFont="1" applyFill="1" applyBorder="1" applyAlignment="1" applyProtection="1">
      <alignment horizontal="center" vertical="center"/>
      <protection hidden="1"/>
    </xf>
    <xf numFmtId="1" fontId="4" fillId="19" borderId="38" xfId="0" applyNumberFormat="1" applyFont="1" applyFill="1" applyBorder="1" applyAlignment="1" applyProtection="1">
      <alignment horizontal="center" vertical="center"/>
      <protection hidden="1"/>
    </xf>
    <xf numFmtId="1" fontId="4" fillId="19" borderId="37" xfId="0" applyNumberFormat="1" applyFont="1" applyFill="1" applyBorder="1" applyAlignment="1" applyProtection="1">
      <alignment horizontal="center" vertical="center"/>
      <protection hidden="1"/>
    </xf>
    <xf numFmtId="1" fontId="4" fillId="19" borderId="40" xfId="0" applyNumberFormat="1" applyFont="1" applyFill="1" applyBorder="1" applyAlignment="1" applyProtection="1">
      <alignment horizontal="center" vertical="center"/>
      <protection hidden="1"/>
    </xf>
    <xf numFmtId="1" fontId="4" fillId="2" borderId="38" xfId="0" applyNumberFormat="1" applyFont="1" applyFill="1" applyBorder="1" applyAlignment="1" applyProtection="1">
      <alignment horizontal="center" vertical="center"/>
      <protection hidden="1"/>
    </xf>
    <xf numFmtId="1" fontId="4" fillId="2" borderId="145" xfId="0" applyNumberFormat="1" applyFont="1" applyFill="1" applyBorder="1" applyAlignment="1" applyProtection="1">
      <alignment horizontal="center" vertical="center"/>
      <protection hidden="1"/>
    </xf>
    <xf numFmtId="1" fontId="3" fillId="8" borderId="101" xfId="0" applyNumberFormat="1" applyFont="1" applyFill="1" applyBorder="1" applyAlignment="1" applyProtection="1">
      <protection hidden="1"/>
    </xf>
    <xf numFmtId="1" fontId="3" fillId="8" borderId="111" xfId="0" applyNumberFormat="1" applyFont="1" applyFill="1" applyBorder="1" applyAlignment="1" applyProtection="1">
      <protection hidden="1"/>
    </xf>
    <xf numFmtId="168" fontId="3" fillId="0" borderId="0" xfId="0" applyNumberFormat="1" applyFont="1" applyAlignment="1" applyProtection="1">
      <protection hidden="1"/>
    </xf>
    <xf numFmtId="0" fontId="3" fillId="8" borderId="48" xfId="0" applyNumberFormat="1" applyFont="1" applyFill="1" applyBorder="1" applyAlignment="1" applyProtection="1">
      <protection hidden="1"/>
    </xf>
    <xf numFmtId="0" fontId="3" fillId="8" borderId="0" xfId="0" applyNumberFormat="1" applyFont="1" applyFill="1" applyBorder="1" applyAlignment="1" applyProtection="1">
      <protection hidden="1"/>
    </xf>
    <xf numFmtId="1" fontId="3" fillId="10" borderId="0" xfId="0" applyNumberFormat="1" applyFont="1" applyFill="1" applyAlignment="1" applyProtection="1">
      <protection hidden="1"/>
    </xf>
    <xf numFmtId="167" fontId="3" fillId="0" borderId="0" xfId="0" applyNumberFormat="1" applyFont="1" applyAlignment="1" applyProtection="1">
      <protection hidden="1"/>
    </xf>
    <xf numFmtId="1" fontId="3" fillId="3" borderId="48" xfId="0" applyNumberFormat="1" applyFont="1" applyFill="1" applyBorder="1" applyAlignment="1" applyProtection="1">
      <alignment horizontal="center"/>
      <protection hidden="1"/>
    </xf>
    <xf numFmtId="1" fontId="3" fillId="3" borderId="97" xfId="0" applyNumberFormat="1" applyFont="1" applyFill="1" applyBorder="1" applyAlignment="1" applyProtection="1">
      <alignment horizontal="center" textRotation="90"/>
      <protection hidden="1"/>
    </xf>
    <xf numFmtId="1" fontId="3" fillId="0" borderId="15" xfId="0" applyNumberFormat="1" applyFont="1" applyBorder="1" applyAlignment="1" applyProtection="1">
      <alignment horizontal="center" vertical="center"/>
      <protection hidden="1"/>
    </xf>
    <xf numFmtId="1" fontId="3" fillId="0" borderId="4" xfId="0" applyNumberFormat="1" applyFont="1" applyBorder="1" applyAlignment="1" applyProtection="1">
      <alignment horizontal="center" vertical="center"/>
      <protection hidden="1"/>
    </xf>
    <xf numFmtId="1" fontId="3" fillId="0" borderId="23" xfId="0" applyNumberFormat="1" applyFont="1" applyBorder="1" applyAlignment="1" applyProtection="1">
      <alignment horizontal="center" vertical="center"/>
      <protection hidden="1"/>
    </xf>
    <xf numFmtId="1" fontId="0" fillId="0" borderId="0" xfId="0" applyNumberFormat="1"/>
    <xf numFmtId="0" fontId="3" fillId="0" borderId="0" xfId="0" applyNumberFormat="1" applyFont="1" applyFill="1" applyProtection="1">
      <protection hidden="1"/>
    </xf>
    <xf numFmtId="0" fontId="3" fillId="0" borderId="0" xfId="0" applyNumberFormat="1" applyFont="1" applyFill="1" applyAlignment="1" applyProtection="1">
      <alignment textRotation="90"/>
      <protection hidden="1"/>
    </xf>
    <xf numFmtId="0" fontId="0" fillId="0" borderId="0" xfId="0" applyNumberFormat="1"/>
    <xf numFmtId="0" fontId="3" fillId="0" borderId="0" xfId="0" applyNumberFormat="1" applyFont="1" applyProtection="1">
      <protection hidden="1"/>
    </xf>
    <xf numFmtId="0" fontId="3" fillId="0" borderId="225" xfId="0" applyNumberFormat="1" applyFont="1" applyBorder="1" applyAlignment="1" applyProtection="1">
      <alignment horizontal="center" vertical="center"/>
      <protection hidden="1"/>
    </xf>
    <xf numFmtId="0" fontId="3" fillId="0" borderId="5" xfId="0" applyNumberFormat="1" applyFont="1" applyBorder="1" applyAlignment="1" applyProtection="1">
      <alignment horizontal="center" vertical="center"/>
      <protection hidden="1"/>
    </xf>
    <xf numFmtId="0" fontId="3" fillId="0" borderId="226" xfId="0" applyNumberFormat="1" applyFont="1" applyBorder="1" applyAlignment="1" applyProtection="1">
      <alignment horizontal="center" vertical="center"/>
      <protection hidden="1"/>
    </xf>
    <xf numFmtId="0" fontId="3" fillId="0" borderId="0" xfId="0" applyNumberFormat="1" applyFont="1" applyBorder="1" applyAlignment="1" applyProtection="1">
      <alignment horizontal="center" vertical="center"/>
      <protection hidden="1"/>
    </xf>
    <xf numFmtId="166" fontId="3" fillId="0" borderId="4" xfId="0" applyNumberFormat="1" applyFont="1" applyBorder="1" applyAlignment="1" applyProtection="1">
      <alignment horizontal="center" vertical="center"/>
      <protection hidden="1"/>
    </xf>
    <xf numFmtId="0" fontId="3" fillId="2" borderId="114" xfId="0" applyFont="1" applyFill="1" applyBorder="1" applyAlignment="1" applyProtection="1">
      <alignment horizontal="center"/>
      <protection hidden="1"/>
    </xf>
    <xf numFmtId="0" fontId="3" fillId="0" borderId="0" xfId="0" applyFont="1" applyAlignment="1" applyProtection="1">
      <alignment horizontal="left"/>
      <protection hidden="1"/>
    </xf>
    <xf numFmtId="0" fontId="14" fillId="0" borderId="31" xfId="0" applyFont="1" applyBorder="1" applyAlignment="1" applyProtection="1">
      <alignment horizontal="center"/>
      <protection hidden="1"/>
    </xf>
    <xf numFmtId="0" fontId="14" fillId="0" borderId="32" xfId="0" applyFont="1" applyBorder="1" applyAlignment="1" applyProtection="1">
      <alignment horizontal="center"/>
      <protection hidden="1"/>
    </xf>
    <xf numFmtId="0" fontId="14" fillId="0" borderId="32" xfId="0" applyFont="1" applyBorder="1" applyProtection="1">
      <protection hidden="1"/>
    </xf>
    <xf numFmtId="0" fontId="15" fillId="0" borderId="32" xfId="0" applyFont="1" applyBorder="1" applyAlignment="1" applyProtection="1">
      <alignment horizontal="center"/>
      <protection hidden="1"/>
    </xf>
    <xf numFmtId="0" fontId="14" fillId="0" borderId="47" xfId="0" applyFont="1" applyBorder="1" applyProtection="1">
      <protection hidden="1"/>
    </xf>
    <xf numFmtId="0" fontId="3" fillId="0" borderId="30" xfId="11" applyFont="1" applyBorder="1" applyAlignment="1" applyProtection="1">
      <alignment horizontal="left"/>
      <protection locked="0"/>
    </xf>
    <xf numFmtId="0" fontId="3" fillId="0" borderId="36" xfId="9" applyFont="1" applyFill="1" applyBorder="1" applyAlignment="1" applyProtection="1">
      <alignment vertical="center"/>
      <protection locked="0"/>
    </xf>
    <xf numFmtId="0" fontId="3" fillId="0" borderId="36" xfId="11" applyFont="1" applyBorder="1" applyAlignment="1" applyProtection="1">
      <alignment horizontal="left"/>
      <protection locked="0"/>
    </xf>
    <xf numFmtId="0" fontId="3" fillId="0" borderId="36" xfId="0" applyFont="1" applyFill="1" applyBorder="1" applyAlignment="1" applyProtection="1">
      <alignment vertical="center"/>
      <protection locked="0"/>
    </xf>
    <xf numFmtId="0" fontId="3" fillId="0" borderId="32" xfId="9" applyFont="1" applyFill="1" applyBorder="1" applyAlignment="1" applyProtection="1">
      <alignment vertical="center"/>
      <protection locked="0"/>
    </xf>
    <xf numFmtId="0" fontId="3" fillId="0" borderId="114" xfId="0" applyFont="1" applyFill="1" applyBorder="1" applyAlignment="1" applyProtection="1">
      <alignment vertical="center"/>
      <protection locked="0"/>
    </xf>
    <xf numFmtId="0" fontId="3" fillId="0" borderId="34" xfId="11" applyFont="1" applyBorder="1" applyAlignment="1" applyProtection="1">
      <alignment horizontal="left"/>
      <protection locked="0"/>
    </xf>
    <xf numFmtId="0" fontId="3" fillId="0" borderId="34" xfId="0" applyFont="1" applyFill="1" applyBorder="1" applyAlignment="1" applyProtection="1">
      <alignment vertical="center"/>
      <protection locked="0"/>
    </xf>
    <xf numFmtId="0" fontId="3" fillId="0" borderId="34" xfId="9" applyFont="1" applyFill="1" applyBorder="1" applyAlignment="1" applyProtection="1">
      <alignment vertical="center"/>
      <protection locked="0"/>
    </xf>
    <xf numFmtId="0" fontId="3" fillId="0" borderId="0" xfId="9" applyFont="1" applyFill="1" applyBorder="1" applyAlignment="1" applyProtection="1">
      <alignment vertical="center"/>
      <protection locked="0"/>
    </xf>
    <xf numFmtId="0" fontId="10" fillId="15" borderId="10" xfId="0" applyFont="1" applyFill="1" applyBorder="1" applyAlignment="1" applyProtection="1">
      <alignment horizontal="center"/>
      <protection hidden="1"/>
    </xf>
    <xf numFmtId="0" fontId="61" fillId="2" borderId="10" xfId="0" applyFont="1" applyFill="1" applyBorder="1" applyAlignment="1" applyProtection="1">
      <alignment horizontal="center"/>
      <protection hidden="1"/>
    </xf>
    <xf numFmtId="0" fontId="3" fillId="0" borderId="80" xfId="0" applyFont="1" applyBorder="1" applyAlignment="1" applyProtection="1">
      <alignment horizontal="left" shrinkToFit="1"/>
      <protection locked="0"/>
    </xf>
    <xf numFmtId="0" fontId="3" fillId="0" borderId="27" xfId="0" applyFont="1" applyBorder="1" applyAlignment="1" applyProtection="1">
      <alignment horizontal="left" shrinkToFit="1"/>
      <protection locked="0"/>
    </xf>
    <xf numFmtId="0" fontId="3" fillId="0" borderId="150" xfId="0" applyFont="1" applyBorder="1" applyAlignment="1" applyProtection="1">
      <alignment horizontal="left" shrinkToFit="1"/>
      <protection locked="0"/>
    </xf>
    <xf numFmtId="0" fontId="3" fillId="0" borderId="82" xfId="0" applyFont="1" applyBorder="1" applyAlignment="1" applyProtection="1">
      <alignment horizontal="left" shrinkToFit="1"/>
      <protection locked="0"/>
    </xf>
    <xf numFmtId="0" fontId="28" fillId="0" borderId="80" xfId="0" applyFont="1" applyBorder="1" applyAlignment="1" applyProtection="1">
      <alignment horizontal="left" shrinkToFit="1"/>
      <protection hidden="1"/>
    </xf>
    <xf numFmtId="0" fontId="28" fillId="0" borderId="27" xfId="0" applyFont="1" applyBorder="1" applyAlignment="1" applyProtection="1">
      <alignment horizontal="left" shrinkToFit="1"/>
      <protection hidden="1"/>
    </xf>
    <xf numFmtId="0" fontId="28" fillId="0" borderId="150" xfId="0" applyFont="1" applyBorder="1" applyAlignment="1" applyProtection="1">
      <alignment horizontal="left" shrinkToFit="1"/>
      <protection hidden="1"/>
    </xf>
    <xf numFmtId="0" fontId="28" fillId="0" borderId="82" xfId="0" applyFont="1" applyBorder="1" applyAlignment="1" applyProtection="1">
      <alignment horizontal="left" shrinkToFit="1"/>
      <protection hidden="1"/>
    </xf>
    <xf numFmtId="0" fontId="49" fillId="0" borderId="58" xfId="0" applyFont="1" applyBorder="1" applyAlignment="1" applyProtection="1">
      <alignment horizontal="right" shrinkToFit="1"/>
      <protection locked="0"/>
    </xf>
    <xf numFmtId="0" fontId="49" fillId="0" borderId="19" xfId="0" applyFont="1" applyBorder="1" applyAlignment="1" applyProtection="1">
      <alignment horizontal="left" shrinkToFit="1"/>
      <protection locked="0"/>
    </xf>
    <xf numFmtId="0" fontId="49" fillId="0" borderId="19" xfId="0" applyFont="1" applyBorder="1" applyAlignment="1" applyProtection="1">
      <alignment horizontal="right" shrinkToFit="1"/>
      <protection locked="0"/>
    </xf>
    <xf numFmtId="0" fontId="49" fillId="0" borderId="1" xfId="0" applyFont="1" applyBorder="1" applyAlignment="1" applyProtection="1">
      <alignment horizontal="right" shrinkToFit="1"/>
      <protection locked="0"/>
    </xf>
    <xf numFmtId="0" fontId="49" fillId="0" borderId="11" xfId="0" applyFont="1" applyBorder="1" applyAlignment="1" applyProtection="1">
      <alignment horizontal="right" shrinkToFit="1"/>
      <protection locked="0"/>
    </xf>
    <xf numFmtId="49" fontId="3" fillId="0" borderId="0" xfId="0" applyNumberFormat="1" applyFont="1" applyAlignment="1" applyProtection="1">
      <alignment horizontal="left"/>
      <protection locked="0"/>
    </xf>
    <xf numFmtId="0" fontId="3" fillId="0" borderId="222" xfId="15" applyFont="1" applyBorder="1" applyAlignment="1" applyProtection="1">
      <alignment horizontal="center"/>
      <protection hidden="1"/>
    </xf>
    <xf numFmtId="0" fontId="3" fillId="0" borderId="0" xfId="15" applyFont="1" applyBorder="1" applyAlignment="1" applyProtection="1">
      <alignment horizontal="center"/>
      <protection hidden="1"/>
    </xf>
    <xf numFmtId="0" fontId="3" fillId="0" borderId="0" xfId="0" applyFont="1" applyBorder="1" applyAlignment="1" applyProtection="1">
      <alignment horizontal="center" wrapText="1"/>
      <protection hidden="1"/>
    </xf>
    <xf numFmtId="0" fontId="6" fillId="0" borderId="115" xfId="0" applyFont="1" applyBorder="1" applyAlignment="1" applyProtection="1">
      <alignment horizontal="center"/>
      <protection hidden="1"/>
    </xf>
    <xf numFmtId="0" fontId="6" fillId="0" borderId="43" xfId="0" applyFont="1" applyBorder="1" applyAlignment="1" applyProtection="1">
      <alignment horizontal="center"/>
      <protection hidden="1"/>
    </xf>
    <xf numFmtId="0" fontId="6" fillId="0" borderId="57" xfId="0" applyFont="1" applyBorder="1" applyAlignment="1" applyProtection="1">
      <alignment horizontal="center"/>
      <protection hidden="1"/>
    </xf>
    <xf numFmtId="0" fontId="3" fillId="0" borderId="118" xfId="0" applyFont="1" applyBorder="1" applyAlignment="1" applyProtection="1">
      <alignment horizontal="center"/>
      <protection hidden="1"/>
    </xf>
    <xf numFmtId="0" fontId="3" fillId="0" borderId="126" xfId="0" applyFont="1" applyBorder="1" applyAlignment="1" applyProtection="1">
      <alignment horizontal="center"/>
      <protection hidden="1"/>
    </xf>
    <xf numFmtId="0" fontId="3" fillId="0" borderId="102" xfId="0" applyFont="1" applyBorder="1" applyAlignment="1" applyProtection="1">
      <alignment horizontal="center"/>
      <protection hidden="1"/>
    </xf>
    <xf numFmtId="0" fontId="3" fillId="0" borderId="0" xfId="0" applyFont="1" applyBorder="1" applyAlignment="1" applyProtection="1">
      <alignment horizontal="center" vertical="top" wrapText="1"/>
      <protection hidden="1"/>
    </xf>
    <xf numFmtId="0" fontId="3" fillId="0" borderId="41" xfId="0" applyFont="1" applyBorder="1" applyAlignment="1" applyProtection="1">
      <alignment horizontal="center" vertical="top" wrapText="1"/>
      <protection hidden="1"/>
    </xf>
    <xf numFmtId="0" fontId="3" fillId="0" borderId="0" xfId="0" applyFont="1" applyBorder="1" applyAlignment="1" applyProtection="1">
      <alignment horizontal="center" vertical="center" wrapText="1"/>
      <protection hidden="1"/>
    </xf>
    <xf numFmtId="0" fontId="3" fillId="0" borderId="41" xfId="0" applyFont="1" applyBorder="1" applyAlignment="1" applyProtection="1">
      <alignment horizontal="center" vertical="center" wrapText="1"/>
      <protection hidden="1"/>
    </xf>
    <xf numFmtId="0" fontId="3" fillId="0" borderId="0" xfId="0" applyFont="1" applyAlignment="1" applyProtection="1">
      <alignment horizontal="center" vertical="top" wrapText="1"/>
      <protection hidden="1"/>
    </xf>
    <xf numFmtId="0" fontId="3" fillId="0" borderId="43" xfId="0" applyFont="1" applyBorder="1" applyAlignment="1" applyProtection="1">
      <alignment horizontal="center" vertical="top" wrapText="1"/>
      <protection hidden="1"/>
    </xf>
    <xf numFmtId="0" fontId="3" fillId="0" borderId="57" xfId="0" applyFont="1" applyBorder="1" applyAlignment="1" applyProtection="1">
      <alignment horizontal="center" vertical="top" wrapText="1"/>
      <protection hidden="1"/>
    </xf>
    <xf numFmtId="0" fontId="24" fillId="0" borderId="118" xfId="0" applyFont="1" applyBorder="1" applyAlignment="1" applyProtection="1">
      <alignment horizontal="center" vertical="center"/>
      <protection hidden="1"/>
    </xf>
    <xf numFmtId="0" fontId="24" fillId="0" borderId="126" xfId="0" applyFont="1" applyBorder="1" applyAlignment="1" applyProtection="1">
      <alignment horizontal="center" vertical="center"/>
      <protection hidden="1"/>
    </xf>
    <xf numFmtId="0" fontId="24" fillId="0" borderId="102" xfId="0" applyFont="1" applyBorder="1" applyAlignment="1" applyProtection="1">
      <alignment horizontal="center" vertical="center"/>
      <protection hidden="1"/>
    </xf>
    <xf numFmtId="0" fontId="24" fillId="0" borderId="115" xfId="0" applyFont="1" applyBorder="1" applyAlignment="1" applyProtection="1">
      <alignment horizontal="center" vertical="center"/>
      <protection hidden="1"/>
    </xf>
    <xf numFmtId="0" fontId="24" fillId="0" borderId="43" xfId="0" applyFont="1" applyBorder="1" applyAlignment="1" applyProtection="1">
      <alignment horizontal="center" vertical="center"/>
      <protection hidden="1"/>
    </xf>
    <xf numFmtId="0" fontId="24" fillId="0" borderId="57" xfId="0" applyFont="1" applyBorder="1" applyAlignment="1" applyProtection="1">
      <alignment horizontal="center" vertical="center"/>
      <protection hidden="1"/>
    </xf>
    <xf numFmtId="0" fontId="3" fillId="0" borderId="0" xfId="0" applyFont="1" applyBorder="1" applyAlignment="1" applyProtection="1">
      <alignment vertical="center" wrapText="1"/>
      <protection hidden="1"/>
    </xf>
    <xf numFmtId="0" fontId="12" fillId="0" borderId="0" xfId="15" applyFont="1" applyBorder="1" applyAlignment="1" applyProtection="1">
      <alignment horizontal="center"/>
      <protection hidden="1"/>
    </xf>
    <xf numFmtId="0" fontId="58" fillId="24" borderId="205" xfId="15" applyFont="1" applyFill="1" applyBorder="1" applyAlignment="1" applyProtection="1">
      <alignment horizontal="center"/>
      <protection hidden="1"/>
    </xf>
    <xf numFmtId="0" fontId="58" fillId="24" borderId="223" xfId="15" applyFont="1" applyFill="1" applyBorder="1" applyAlignment="1" applyProtection="1">
      <alignment horizontal="center"/>
      <protection hidden="1"/>
    </xf>
    <xf numFmtId="0" fontId="17" fillId="13" borderId="118" xfId="15" applyFill="1" applyBorder="1" applyAlignment="1" applyProtection="1">
      <alignment horizontal="center" vertical="center" wrapText="1"/>
      <protection hidden="1"/>
    </xf>
    <xf numFmtId="0" fontId="17" fillId="13" borderId="102" xfId="15" applyFill="1" applyBorder="1" applyAlignment="1" applyProtection="1">
      <alignment horizontal="center" vertical="center" wrapText="1"/>
      <protection hidden="1"/>
    </xf>
    <xf numFmtId="0" fontId="17" fillId="13" borderId="119" xfId="15" applyFill="1" applyBorder="1" applyAlignment="1" applyProtection="1">
      <alignment horizontal="center" vertical="center" wrapText="1"/>
      <protection hidden="1"/>
    </xf>
    <xf numFmtId="0" fontId="17" fillId="13" borderId="41" xfId="15" applyFill="1" applyBorder="1" applyAlignment="1" applyProtection="1">
      <alignment horizontal="center" vertical="center" wrapText="1"/>
      <protection hidden="1"/>
    </xf>
    <xf numFmtId="0" fontId="17" fillId="13" borderId="115" xfId="15" applyFill="1" applyBorder="1" applyAlignment="1" applyProtection="1">
      <alignment horizontal="center" vertical="center" wrapText="1"/>
      <protection hidden="1"/>
    </xf>
    <xf numFmtId="0" fontId="17" fillId="13" borderId="57" xfId="15" applyFill="1" applyBorder="1" applyAlignment="1" applyProtection="1">
      <alignment horizontal="center" vertical="center" wrapText="1"/>
      <protection hidden="1"/>
    </xf>
    <xf numFmtId="0" fontId="52" fillId="20" borderId="188" xfId="15" applyFont="1" applyFill="1" applyBorder="1" applyAlignment="1" applyProtection="1">
      <alignment horizontal="center"/>
      <protection hidden="1"/>
    </xf>
    <xf numFmtId="0" fontId="17" fillId="23" borderId="118" xfId="15" applyFont="1" applyFill="1" applyBorder="1" applyAlignment="1" applyProtection="1">
      <alignment horizontal="center" vertical="center" wrapText="1"/>
      <protection hidden="1"/>
    </xf>
    <xf numFmtId="0" fontId="17" fillId="23" borderId="102" xfId="15" applyFont="1" applyFill="1" applyBorder="1" applyAlignment="1" applyProtection="1">
      <alignment horizontal="center" vertical="center" wrapText="1"/>
      <protection hidden="1"/>
    </xf>
    <xf numFmtId="0" fontId="17" fillId="23" borderId="119" xfId="15" applyFont="1" applyFill="1" applyBorder="1" applyAlignment="1" applyProtection="1">
      <alignment horizontal="center" vertical="center" wrapText="1"/>
      <protection hidden="1"/>
    </xf>
    <xf numFmtId="0" fontId="17" fillId="23" borderId="41" xfId="15" applyFont="1" applyFill="1" applyBorder="1" applyAlignment="1" applyProtection="1">
      <alignment horizontal="center" vertical="center" wrapText="1"/>
      <protection hidden="1"/>
    </xf>
    <xf numFmtId="0" fontId="17" fillId="23" borderId="115" xfId="15" applyFont="1" applyFill="1" applyBorder="1" applyAlignment="1" applyProtection="1">
      <alignment horizontal="center" vertical="center" wrapText="1"/>
      <protection hidden="1"/>
    </xf>
    <xf numFmtId="0" fontId="17" fillId="23" borderId="57" xfId="15" applyFont="1" applyFill="1" applyBorder="1" applyAlignment="1" applyProtection="1">
      <alignment horizontal="center" vertical="center" wrapText="1"/>
      <protection hidden="1"/>
    </xf>
    <xf numFmtId="0" fontId="17" fillId="23" borderId="188" xfId="15" applyFont="1" applyFill="1" applyBorder="1" applyAlignment="1" applyProtection="1">
      <alignment horizontal="center" wrapText="1"/>
      <protection hidden="1"/>
    </xf>
    <xf numFmtId="0" fontId="17" fillId="21" borderId="188" xfId="15" applyFont="1" applyFill="1" applyBorder="1" applyAlignment="1" applyProtection="1">
      <alignment horizontal="center" vertical="center" wrapText="1"/>
      <protection hidden="1"/>
    </xf>
    <xf numFmtId="0" fontId="3" fillId="2" borderId="44" xfId="0" applyFont="1" applyFill="1" applyBorder="1" applyAlignment="1" applyProtection="1">
      <alignment horizontal="center"/>
      <protection hidden="1"/>
    </xf>
    <xf numFmtId="0" fontId="3" fillId="2" borderId="114" xfId="0" applyFont="1" applyFill="1" applyBorder="1" applyAlignment="1" applyProtection="1">
      <alignment horizontal="center"/>
      <protection hidden="1"/>
    </xf>
    <xf numFmtId="0" fontId="3" fillId="2" borderId="127" xfId="0" applyFont="1" applyFill="1" applyBorder="1" applyAlignment="1" applyProtection="1">
      <alignment horizontal="center"/>
      <protection hidden="1"/>
    </xf>
    <xf numFmtId="0" fontId="3" fillId="2" borderId="118" xfId="0" applyFont="1" applyFill="1" applyBorder="1" applyAlignment="1" applyProtection="1">
      <alignment horizontal="center"/>
      <protection hidden="1"/>
    </xf>
    <xf numFmtId="0" fontId="3" fillId="2" borderId="102" xfId="0" applyFont="1" applyFill="1" applyBorder="1" applyAlignment="1" applyProtection="1">
      <alignment horizontal="center"/>
      <protection hidden="1"/>
    </xf>
    <xf numFmtId="0" fontId="4" fillId="12" borderId="118" xfId="0" applyFont="1" applyFill="1" applyBorder="1" applyAlignment="1" applyProtection="1">
      <alignment horizontal="center" vertical="center" wrapText="1"/>
      <protection hidden="1"/>
    </xf>
    <xf numFmtId="0" fontId="4" fillId="12" borderId="126" xfId="0" applyFont="1" applyFill="1" applyBorder="1" applyAlignment="1" applyProtection="1">
      <alignment horizontal="center" vertical="center" wrapText="1"/>
      <protection hidden="1"/>
    </xf>
    <xf numFmtId="0" fontId="4" fillId="12" borderId="102" xfId="0" applyFont="1" applyFill="1" applyBorder="1" applyAlignment="1" applyProtection="1">
      <alignment horizontal="center" vertical="center" wrapText="1"/>
      <protection hidden="1"/>
    </xf>
    <xf numFmtId="0" fontId="4" fillId="12" borderId="119" xfId="0" applyFont="1" applyFill="1" applyBorder="1" applyAlignment="1" applyProtection="1">
      <alignment horizontal="center" vertical="center" wrapText="1"/>
      <protection hidden="1"/>
    </xf>
    <xf numFmtId="0" fontId="4" fillId="12" borderId="0" xfId="0" applyFont="1" applyFill="1" applyBorder="1" applyAlignment="1" applyProtection="1">
      <alignment horizontal="center" vertical="center" wrapText="1"/>
      <protection hidden="1"/>
    </xf>
    <xf numFmtId="0" fontId="4" fillId="12" borderId="41" xfId="0" applyFont="1" applyFill="1" applyBorder="1" applyAlignment="1" applyProtection="1">
      <alignment horizontal="center" vertical="center" wrapText="1"/>
      <protection hidden="1"/>
    </xf>
    <xf numFmtId="0" fontId="4" fillId="12" borderId="115" xfId="0" applyFont="1" applyFill="1" applyBorder="1" applyAlignment="1" applyProtection="1">
      <alignment horizontal="center" vertical="center" wrapText="1"/>
      <protection hidden="1"/>
    </xf>
    <xf numFmtId="0" fontId="4" fillId="12" borderId="43" xfId="0" applyFont="1" applyFill="1" applyBorder="1" applyAlignment="1" applyProtection="1">
      <alignment horizontal="center" vertical="center" wrapText="1"/>
      <protection hidden="1"/>
    </xf>
    <xf numFmtId="0" fontId="4" fillId="12" borderId="57" xfId="0" applyFont="1" applyFill="1" applyBorder="1" applyAlignment="1" applyProtection="1">
      <alignment horizontal="center" vertical="center" wrapText="1"/>
      <protection hidden="1"/>
    </xf>
    <xf numFmtId="0" fontId="24" fillId="13" borderId="44" xfId="0" applyFont="1" applyFill="1" applyBorder="1" applyAlignment="1" applyProtection="1">
      <alignment horizontal="center" vertical="center"/>
      <protection hidden="1"/>
    </xf>
    <xf numFmtId="0" fontId="24" fillId="13" borderId="127" xfId="0" applyFont="1" applyFill="1" applyBorder="1" applyAlignment="1" applyProtection="1">
      <alignment horizontal="center" vertical="center"/>
      <protection hidden="1"/>
    </xf>
    <xf numFmtId="0" fontId="53" fillId="16" borderId="44" xfId="0" applyFont="1" applyFill="1" applyBorder="1" applyAlignment="1" applyProtection="1">
      <alignment horizontal="center" vertical="center"/>
      <protection hidden="1"/>
    </xf>
    <xf numFmtId="0" fontId="53" fillId="16" borderId="127" xfId="0" applyFont="1" applyFill="1" applyBorder="1" applyAlignment="1" applyProtection="1">
      <alignment horizontal="center" vertical="center"/>
      <protection hidden="1"/>
    </xf>
    <xf numFmtId="0" fontId="24" fillId="14" borderId="44" xfId="0" applyFont="1" applyFill="1" applyBorder="1" applyAlignment="1" applyProtection="1">
      <alignment horizontal="center" vertical="center"/>
      <protection hidden="1"/>
    </xf>
    <xf numFmtId="0" fontId="24" fillId="14" borderId="127" xfId="0" applyFont="1" applyFill="1" applyBorder="1" applyAlignment="1" applyProtection="1">
      <alignment horizontal="center" vertical="center"/>
      <protection hidden="1"/>
    </xf>
    <xf numFmtId="0" fontId="24" fillId="12" borderId="44" xfId="0" applyFont="1" applyFill="1" applyBorder="1" applyAlignment="1" applyProtection="1">
      <alignment horizontal="center" vertical="center"/>
      <protection hidden="1"/>
    </xf>
    <xf numFmtId="0" fontId="24" fillId="12" borderId="127" xfId="0" applyFont="1" applyFill="1" applyBorder="1" applyAlignment="1" applyProtection="1">
      <alignment horizontal="center" vertical="center"/>
      <protection hidden="1"/>
    </xf>
    <xf numFmtId="0" fontId="5" fillId="9" borderId="80" xfId="0" applyFont="1" applyFill="1" applyBorder="1" applyAlignment="1" applyProtection="1">
      <alignment horizontal="left"/>
      <protection hidden="1"/>
    </xf>
    <xf numFmtId="0" fontId="5" fillId="9" borderId="30" xfId="0" applyFont="1" applyFill="1" applyBorder="1" applyAlignment="1" applyProtection="1">
      <alignment horizontal="left"/>
      <protection hidden="1"/>
    </xf>
    <xf numFmtId="0" fontId="5" fillId="9" borderId="46" xfId="0" applyFont="1" applyFill="1" applyBorder="1" applyAlignment="1" applyProtection="1">
      <alignment horizontal="left"/>
      <protection hidden="1"/>
    </xf>
    <xf numFmtId="0" fontId="5" fillId="9" borderId="17" xfId="0" applyFont="1" applyFill="1" applyBorder="1" applyAlignment="1" applyProtection="1">
      <alignment horizontal="left"/>
      <protection hidden="1"/>
    </xf>
    <xf numFmtId="0" fontId="5" fillId="9" borderId="36" xfId="0" applyFont="1" applyFill="1" applyBorder="1" applyAlignment="1" applyProtection="1">
      <alignment horizontal="left"/>
      <protection hidden="1"/>
    </xf>
    <xf numFmtId="0" fontId="5" fillId="9" borderId="42" xfId="0" applyFont="1" applyFill="1" applyBorder="1" applyAlignment="1" applyProtection="1">
      <alignment horizontal="left"/>
      <protection hidden="1"/>
    </xf>
    <xf numFmtId="0" fontId="5" fillId="9" borderId="123" xfId="0" applyFont="1" applyFill="1" applyBorder="1" applyAlignment="1" applyProtection="1">
      <alignment horizontal="left"/>
      <protection hidden="1"/>
    </xf>
    <xf numFmtId="0" fontId="5" fillId="9" borderId="32" xfId="0" applyFont="1" applyFill="1" applyBorder="1" applyAlignment="1" applyProtection="1">
      <alignment horizontal="left"/>
      <protection hidden="1"/>
    </xf>
    <xf numFmtId="0" fontId="5" fillId="9" borderId="47" xfId="0" applyFont="1" applyFill="1" applyBorder="1" applyAlignment="1" applyProtection="1">
      <alignment horizontal="left"/>
      <protection hidden="1"/>
    </xf>
    <xf numFmtId="0" fontId="53" fillId="15" borderId="118" xfId="0" applyFont="1" applyFill="1" applyBorder="1" applyAlignment="1" applyProtection="1">
      <alignment horizontal="center" vertical="center"/>
      <protection hidden="1"/>
    </xf>
    <xf numFmtId="0" fontId="53" fillId="15" borderId="102" xfId="0" applyFont="1" applyFill="1" applyBorder="1" applyAlignment="1" applyProtection="1">
      <alignment horizontal="center" vertical="center"/>
      <protection hidden="1"/>
    </xf>
    <xf numFmtId="0" fontId="4" fillId="17" borderId="44" xfId="0" applyFont="1" applyFill="1" applyBorder="1" applyAlignment="1" applyProtection="1">
      <alignment horizontal="center"/>
      <protection hidden="1"/>
    </xf>
    <xf numFmtId="0" fontId="4" fillId="17" borderId="127" xfId="0" applyFont="1" applyFill="1" applyBorder="1" applyAlignment="1" applyProtection="1">
      <alignment horizontal="center"/>
      <protection hidden="1"/>
    </xf>
    <xf numFmtId="0" fontId="24" fillId="13" borderId="118" xfId="0" applyFont="1" applyFill="1" applyBorder="1" applyAlignment="1" applyProtection="1">
      <alignment horizontal="center" vertical="center"/>
      <protection hidden="1"/>
    </xf>
    <xf numFmtId="0" fontId="24" fillId="13" borderId="102" xfId="0" applyFont="1" applyFill="1" applyBorder="1" applyAlignment="1" applyProtection="1">
      <alignment horizontal="center" vertical="center"/>
      <protection hidden="1"/>
    </xf>
    <xf numFmtId="0" fontId="46" fillId="17" borderId="44" xfId="0" applyFont="1" applyFill="1" applyBorder="1" applyAlignment="1">
      <alignment horizontal="center"/>
    </xf>
    <xf numFmtId="0" fontId="46" fillId="17" borderId="127" xfId="0" applyFont="1" applyFill="1" applyBorder="1" applyAlignment="1">
      <alignment horizontal="center"/>
    </xf>
    <xf numFmtId="0" fontId="3" fillId="3" borderId="45" xfId="0" applyFont="1" applyFill="1" applyBorder="1" applyAlignment="1" applyProtection="1">
      <alignment horizontal="center" textRotation="90"/>
      <protection hidden="1"/>
    </xf>
    <xf numFmtId="0" fontId="3" fillId="3" borderId="98" xfId="0" applyFont="1" applyFill="1" applyBorder="1" applyAlignment="1" applyProtection="1">
      <alignment horizontal="center" textRotation="90"/>
      <protection hidden="1"/>
    </xf>
    <xf numFmtId="0" fontId="3" fillId="3" borderId="101" xfId="0" applyFont="1" applyFill="1" applyBorder="1" applyAlignment="1" applyProtection="1">
      <alignment horizontal="center" wrapText="1"/>
      <protection hidden="1"/>
    </xf>
    <xf numFmtId="0" fontId="3" fillId="3" borderId="153" xfId="0" applyFont="1" applyFill="1" applyBorder="1" applyAlignment="1" applyProtection="1">
      <alignment horizontal="center" wrapText="1"/>
      <protection hidden="1"/>
    </xf>
    <xf numFmtId="0" fontId="3" fillId="13" borderId="174" xfId="0" applyFont="1" applyFill="1" applyBorder="1" applyAlignment="1" applyProtection="1">
      <alignment horizontal="center"/>
      <protection hidden="1"/>
    </xf>
    <xf numFmtId="0" fontId="3" fillId="13" borderId="105" xfId="0" applyFont="1" applyFill="1" applyBorder="1" applyAlignment="1" applyProtection="1">
      <alignment horizontal="center"/>
      <protection hidden="1"/>
    </xf>
    <xf numFmtId="0" fontId="3" fillId="13" borderId="173" xfId="0" applyFont="1" applyFill="1" applyBorder="1" applyAlignment="1" applyProtection="1">
      <alignment horizontal="center"/>
      <protection hidden="1"/>
    </xf>
    <xf numFmtId="0" fontId="8" fillId="0" borderId="92" xfId="0" applyFont="1" applyBorder="1" applyAlignment="1" applyProtection="1">
      <alignment horizontal="center" vertical="center"/>
      <protection hidden="1"/>
    </xf>
    <xf numFmtId="0" fontId="51" fillId="0" borderId="132" xfId="0" applyFont="1" applyBorder="1" applyAlignment="1" applyProtection="1">
      <alignment horizontal="center" vertical="center"/>
      <protection hidden="1"/>
    </xf>
    <xf numFmtId="0" fontId="51" fillId="0" borderId="171" xfId="0" applyFont="1" applyBorder="1" applyAlignment="1" applyProtection="1">
      <alignment horizontal="center" vertical="center"/>
      <protection hidden="1"/>
    </xf>
    <xf numFmtId="173" fontId="3" fillId="0" borderId="0" xfId="0" applyNumberFormat="1" applyFont="1" applyAlignment="1" applyProtection="1">
      <alignment horizontal="left"/>
      <protection hidden="1"/>
    </xf>
    <xf numFmtId="168" fontId="3" fillId="3" borderId="101" xfId="0" applyNumberFormat="1" applyFont="1" applyFill="1" applyBorder="1" applyAlignment="1" applyProtection="1">
      <alignment horizontal="center" wrapText="1"/>
      <protection hidden="1"/>
    </xf>
    <xf numFmtId="168" fontId="3" fillId="3" borderId="153" xfId="0" applyNumberFormat="1" applyFont="1" applyFill="1" applyBorder="1" applyAlignment="1" applyProtection="1">
      <alignment horizontal="center" wrapText="1"/>
      <protection hidden="1"/>
    </xf>
    <xf numFmtId="0" fontId="3" fillId="3" borderId="86" xfId="0" applyFont="1" applyFill="1" applyBorder="1" applyAlignment="1" applyProtection="1">
      <alignment horizontal="center" wrapText="1"/>
      <protection hidden="1"/>
    </xf>
    <xf numFmtId="0" fontId="3" fillId="3" borderId="83" xfId="0" applyFont="1" applyFill="1" applyBorder="1" applyAlignment="1" applyProtection="1">
      <alignment horizontal="center" wrapText="1"/>
      <protection hidden="1"/>
    </xf>
    <xf numFmtId="0" fontId="3" fillId="8" borderId="101" xfId="0" applyFont="1" applyFill="1" applyBorder="1" applyAlignment="1" applyProtection="1">
      <alignment horizontal="center" textRotation="90"/>
      <protection hidden="1"/>
    </xf>
    <xf numFmtId="0" fontId="3" fillId="8" borderId="152" xfId="0" applyFont="1" applyFill="1" applyBorder="1" applyAlignment="1" applyProtection="1">
      <alignment horizontal="center" textRotation="90"/>
      <protection hidden="1"/>
    </xf>
    <xf numFmtId="0" fontId="3" fillId="8" borderId="153" xfId="0" applyFont="1" applyFill="1" applyBorder="1" applyAlignment="1" applyProtection="1">
      <alignment horizontal="center" textRotation="90"/>
      <protection hidden="1"/>
    </xf>
    <xf numFmtId="0" fontId="3" fillId="2" borderId="178" xfId="0" applyFont="1" applyFill="1" applyBorder="1" applyAlignment="1" applyProtection="1">
      <alignment horizontal="center"/>
      <protection hidden="1"/>
    </xf>
    <xf numFmtId="0" fontId="3" fillId="2" borderId="175" xfId="0" applyFont="1" applyFill="1" applyBorder="1" applyAlignment="1" applyProtection="1">
      <alignment horizontal="center"/>
      <protection hidden="1"/>
    </xf>
    <xf numFmtId="0" fontId="3" fillId="2" borderId="182" xfId="0" applyFont="1" applyFill="1" applyBorder="1" applyAlignment="1">
      <alignment horizontal="center"/>
    </xf>
    <xf numFmtId="0" fontId="3" fillId="2" borderId="48" xfId="0" applyFont="1" applyFill="1" applyBorder="1" applyAlignment="1">
      <alignment horizontal="center"/>
    </xf>
    <xf numFmtId="0" fontId="3" fillId="3" borderId="183" xfId="0" applyFont="1" applyFill="1" applyBorder="1" applyAlignment="1" applyProtection="1">
      <alignment horizontal="center"/>
      <protection hidden="1"/>
    </xf>
    <xf numFmtId="0" fontId="3" fillId="3" borderId="177" xfId="0" applyFont="1" applyFill="1" applyBorder="1" applyAlignment="1" applyProtection="1">
      <alignment horizontal="center"/>
      <protection hidden="1"/>
    </xf>
    <xf numFmtId="0" fontId="4" fillId="2" borderId="118" xfId="0" applyFont="1" applyFill="1" applyBorder="1" applyAlignment="1" applyProtection="1">
      <alignment horizontal="center" vertical="center" wrapText="1"/>
      <protection hidden="1"/>
    </xf>
    <xf numFmtId="0" fontId="4" fillId="2" borderId="126" xfId="0" applyFont="1" applyFill="1" applyBorder="1" applyAlignment="1" applyProtection="1">
      <alignment horizontal="center" vertical="center" wrapText="1"/>
      <protection hidden="1"/>
    </xf>
    <xf numFmtId="0" fontId="4" fillId="2" borderId="102" xfId="0" applyFont="1" applyFill="1" applyBorder="1" applyAlignment="1" applyProtection="1">
      <alignment horizontal="center" vertical="center" wrapText="1"/>
      <protection hidden="1"/>
    </xf>
    <xf numFmtId="0" fontId="4" fillId="2" borderId="115" xfId="0" applyFont="1" applyFill="1" applyBorder="1" applyAlignment="1" applyProtection="1">
      <alignment horizontal="center" vertical="center" wrapText="1"/>
      <protection hidden="1"/>
    </xf>
    <xf numFmtId="0" fontId="4" fillId="2" borderId="43" xfId="0" applyFont="1" applyFill="1" applyBorder="1" applyAlignment="1" applyProtection="1">
      <alignment horizontal="center" vertical="center" wrapText="1"/>
      <protection hidden="1"/>
    </xf>
    <xf numFmtId="0" fontId="4" fillId="2" borderId="57" xfId="0" applyFont="1" applyFill="1" applyBorder="1" applyAlignment="1" applyProtection="1">
      <alignment horizontal="center" vertical="center" wrapText="1"/>
      <protection hidden="1"/>
    </xf>
    <xf numFmtId="0" fontId="4" fillId="2" borderId="44" xfId="0" applyFont="1" applyFill="1" applyBorder="1" applyAlignment="1" applyProtection="1">
      <alignment horizontal="center"/>
      <protection hidden="1"/>
    </xf>
    <xf numFmtId="0" fontId="4" fillId="2" borderId="114" xfId="0" applyFont="1" applyFill="1" applyBorder="1" applyAlignment="1" applyProtection="1">
      <alignment horizontal="center"/>
      <protection hidden="1"/>
    </xf>
    <xf numFmtId="0" fontId="4" fillId="2" borderId="127" xfId="0" applyFont="1" applyFill="1" applyBorder="1" applyAlignment="1" applyProtection="1">
      <alignment horizontal="center"/>
      <protection hidden="1"/>
    </xf>
    <xf numFmtId="0" fontId="3" fillId="3" borderId="97" xfId="0" applyFont="1" applyFill="1" applyBorder="1" applyAlignment="1" applyProtection="1">
      <alignment horizontal="center"/>
      <protection hidden="1"/>
    </xf>
    <xf numFmtId="0" fontId="7" fillId="3" borderId="119" xfId="0" applyFont="1" applyFill="1" applyBorder="1" applyAlignment="1" applyProtection="1">
      <alignment horizontal="center"/>
      <protection hidden="1"/>
    </xf>
    <xf numFmtId="0" fontId="7" fillId="3" borderId="41" xfId="0" applyFont="1" applyFill="1" applyBorder="1" applyAlignment="1" applyProtection="1">
      <alignment horizontal="center"/>
      <protection hidden="1"/>
    </xf>
    <xf numFmtId="0" fontId="4" fillId="3" borderId="180" xfId="0" applyFont="1" applyFill="1" applyBorder="1" applyAlignment="1" applyProtection="1">
      <alignment horizontal="center"/>
      <protection hidden="1"/>
    </xf>
    <xf numFmtId="0" fontId="4" fillId="3" borderId="179" xfId="0" applyFont="1" applyFill="1" applyBorder="1" applyAlignment="1" applyProtection="1">
      <alignment horizontal="center"/>
      <protection hidden="1"/>
    </xf>
    <xf numFmtId="0" fontId="4" fillId="3" borderId="181" xfId="0" applyFont="1" applyFill="1" applyBorder="1" applyAlignment="1" applyProtection="1">
      <alignment horizontal="center"/>
      <protection hidden="1"/>
    </xf>
    <xf numFmtId="0" fontId="3" fillId="0" borderId="118" xfId="0" applyFont="1" applyBorder="1" applyAlignment="1" applyProtection="1">
      <alignment horizontal="center" vertical="center"/>
      <protection hidden="1"/>
    </xf>
    <xf numFmtId="0" fontId="3" fillId="0" borderId="119" xfId="0" applyFont="1" applyBorder="1" applyAlignment="1" applyProtection="1">
      <alignment horizontal="center" vertical="center"/>
      <protection hidden="1"/>
    </xf>
    <xf numFmtId="0" fontId="3" fillId="0" borderId="115" xfId="0" applyFont="1" applyBorder="1" applyAlignment="1" applyProtection="1">
      <alignment horizontal="center" vertical="center"/>
      <protection hidden="1"/>
    </xf>
    <xf numFmtId="0" fontId="31" fillId="0" borderId="39" xfId="0" applyFont="1" applyBorder="1" applyAlignment="1" applyProtection="1">
      <alignment horizontal="center" vertical="center"/>
      <protection hidden="1"/>
    </xf>
    <xf numFmtId="0" fontId="31" fillId="0" borderId="38" xfId="0" applyFont="1" applyBorder="1" applyAlignment="1" applyProtection="1">
      <alignment horizontal="center" vertical="center"/>
      <protection hidden="1"/>
    </xf>
    <xf numFmtId="0" fontId="31" fillId="0" borderId="92" xfId="0" applyFont="1" applyBorder="1" applyAlignment="1" applyProtection="1">
      <alignment horizontal="center" vertical="center"/>
      <protection hidden="1"/>
    </xf>
    <xf numFmtId="0" fontId="31" fillId="0" borderId="132" xfId="0" applyFont="1" applyBorder="1" applyAlignment="1" applyProtection="1">
      <alignment horizontal="center" vertical="center"/>
      <protection hidden="1"/>
    </xf>
    <xf numFmtId="0" fontId="31" fillId="0" borderId="69" xfId="0" applyFont="1" applyBorder="1" applyAlignment="1" applyProtection="1">
      <alignment horizontal="center" vertical="center"/>
      <protection hidden="1"/>
    </xf>
    <xf numFmtId="0" fontId="50" fillId="12" borderId="118" xfId="0" applyFont="1" applyFill="1" applyBorder="1" applyAlignment="1" applyProtection="1">
      <alignment horizontal="center" vertical="center"/>
      <protection hidden="1"/>
    </xf>
    <xf numFmtId="0" fontId="50" fillId="12" borderId="126" xfId="0" applyFont="1" applyFill="1" applyBorder="1" applyAlignment="1" applyProtection="1">
      <alignment horizontal="center" vertical="center"/>
      <protection hidden="1"/>
    </xf>
    <xf numFmtId="0" fontId="50" fillId="12" borderId="102" xfId="0" applyFont="1" applyFill="1" applyBorder="1" applyAlignment="1" applyProtection="1">
      <alignment horizontal="center" vertical="center"/>
      <protection hidden="1"/>
    </xf>
    <xf numFmtId="0" fontId="50" fillId="12" borderId="115" xfId="0" applyFont="1" applyFill="1" applyBorder="1" applyAlignment="1" applyProtection="1">
      <alignment horizontal="center" vertical="center"/>
      <protection hidden="1"/>
    </xf>
    <xf numFmtId="0" fontId="50" fillId="12" borderId="43" xfId="0" applyFont="1" applyFill="1" applyBorder="1" applyAlignment="1" applyProtection="1">
      <alignment horizontal="center" vertical="center"/>
      <protection hidden="1"/>
    </xf>
    <xf numFmtId="0" fontId="50" fillId="12" borderId="57" xfId="0" applyFont="1" applyFill="1" applyBorder="1" applyAlignment="1" applyProtection="1">
      <alignment horizontal="center" vertical="center"/>
      <protection hidden="1"/>
    </xf>
    <xf numFmtId="1" fontId="3" fillId="3" borderId="93" xfId="0" applyNumberFormat="1" applyFont="1" applyFill="1" applyBorder="1" applyAlignment="1" applyProtection="1">
      <alignment horizontal="center" textRotation="180"/>
      <protection hidden="1"/>
    </xf>
    <xf numFmtId="1" fontId="3" fillId="3" borderId="153" xfId="0" applyNumberFormat="1" applyFont="1" applyFill="1" applyBorder="1" applyAlignment="1" applyProtection="1">
      <alignment horizontal="center" textRotation="180"/>
      <protection hidden="1"/>
    </xf>
    <xf numFmtId="0" fontId="19" fillId="3" borderId="86" xfId="0" applyFont="1" applyFill="1" applyBorder="1" applyAlignment="1" applyProtection="1">
      <alignment horizontal="center" wrapText="1"/>
      <protection hidden="1"/>
    </xf>
    <xf numFmtId="0" fontId="19" fillId="3" borderId="83" xfId="0" applyFont="1" applyFill="1" applyBorder="1" applyAlignment="1" applyProtection="1">
      <alignment horizontal="center" wrapText="1"/>
      <protection hidden="1"/>
    </xf>
    <xf numFmtId="168" fontId="3" fillId="3" borderId="45" xfId="0" applyNumberFormat="1" applyFont="1" applyFill="1" applyBorder="1" applyAlignment="1" applyProtection="1">
      <alignment horizontal="center" wrapText="1"/>
      <protection hidden="1"/>
    </xf>
    <xf numFmtId="168" fontId="3" fillId="3" borderId="98" xfId="0" applyNumberFormat="1" applyFont="1" applyFill="1" applyBorder="1" applyAlignment="1" applyProtection="1">
      <alignment horizontal="center" wrapText="1"/>
      <protection hidden="1"/>
    </xf>
    <xf numFmtId="0" fontId="3" fillId="3" borderId="93" xfId="0" applyFont="1" applyFill="1" applyBorder="1" applyAlignment="1" applyProtection="1">
      <alignment horizontal="center" textRotation="180" wrapText="1"/>
      <protection hidden="1"/>
    </xf>
    <xf numFmtId="0" fontId="3" fillId="3" borderId="153" xfId="0" applyFont="1" applyFill="1" applyBorder="1" applyAlignment="1" applyProtection="1">
      <alignment horizontal="center" textRotation="180" wrapText="1"/>
      <protection hidden="1"/>
    </xf>
    <xf numFmtId="0" fontId="7" fillId="3" borderId="172" xfId="0" applyFont="1" applyFill="1" applyBorder="1" applyAlignment="1" applyProtection="1">
      <alignment horizontal="center"/>
      <protection hidden="1"/>
    </xf>
    <xf numFmtId="0" fontId="7" fillId="3" borderId="179" xfId="0" applyFont="1" applyFill="1" applyBorder="1" applyAlignment="1" applyProtection="1">
      <alignment horizontal="center"/>
      <protection hidden="1"/>
    </xf>
    <xf numFmtId="0" fontId="7" fillId="3" borderId="181" xfId="0" applyFont="1" applyFill="1" applyBorder="1" applyAlignment="1" applyProtection="1">
      <alignment horizontal="center"/>
      <protection hidden="1"/>
    </xf>
    <xf numFmtId="0" fontId="20" fillId="3" borderId="86" xfId="0" applyFont="1" applyFill="1" applyBorder="1" applyAlignment="1" applyProtection="1">
      <alignment horizontal="center" textRotation="90"/>
      <protection hidden="1"/>
    </xf>
    <xf numFmtId="0" fontId="20" fillId="3" borderId="83" xfId="0" applyFont="1" applyFill="1" applyBorder="1" applyAlignment="1" applyProtection="1">
      <alignment horizontal="center" textRotation="90"/>
      <protection hidden="1"/>
    </xf>
    <xf numFmtId="0" fontId="3" fillId="3" borderId="0" xfId="0" applyFont="1" applyFill="1" applyAlignment="1" applyProtection="1">
      <alignment horizontal="center"/>
      <protection hidden="1"/>
    </xf>
    <xf numFmtId="0" fontId="7" fillId="3" borderId="44" xfId="0" applyFont="1" applyFill="1" applyBorder="1" applyAlignment="1" applyProtection="1">
      <alignment horizontal="center"/>
      <protection hidden="1"/>
    </xf>
    <xf numFmtId="0" fontId="7" fillId="3" borderId="114" xfId="0" applyFont="1" applyFill="1" applyBorder="1" applyAlignment="1" applyProtection="1">
      <alignment horizontal="center"/>
      <protection hidden="1"/>
    </xf>
    <xf numFmtId="0" fontId="7" fillId="3" borderId="127" xfId="0" applyFont="1" applyFill="1" applyBorder="1" applyAlignment="1" applyProtection="1">
      <alignment horizontal="center"/>
      <protection hidden="1"/>
    </xf>
    <xf numFmtId="0" fontId="3" fillId="3" borderId="43" xfId="0" applyFont="1" applyFill="1" applyBorder="1" applyAlignment="1" applyProtection="1">
      <alignment horizontal="center"/>
      <protection hidden="1"/>
    </xf>
    <xf numFmtId="0" fontId="3" fillId="3" borderId="150" xfId="0" applyFont="1" applyFill="1" applyBorder="1" applyAlignment="1" applyProtection="1">
      <alignment horizontal="center" textRotation="90"/>
      <protection hidden="1"/>
    </xf>
    <xf numFmtId="0" fontId="3" fillId="3" borderId="44" xfId="0" applyFont="1" applyFill="1" applyBorder="1" applyAlignment="1" applyProtection="1">
      <alignment horizontal="center"/>
      <protection hidden="1"/>
    </xf>
    <xf numFmtId="0" fontId="3" fillId="3" borderId="114" xfId="0" applyFont="1" applyFill="1" applyBorder="1" applyAlignment="1" applyProtection="1">
      <alignment horizontal="center"/>
      <protection hidden="1"/>
    </xf>
    <xf numFmtId="0" fontId="3" fillId="3" borderId="127" xfId="0" applyFont="1" applyFill="1" applyBorder="1" applyAlignment="1" applyProtection="1">
      <alignment horizontal="center"/>
      <protection hidden="1"/>
    </xf>
    <xf numFmtId="0" fontId="3" fillId="0" borderId="0" xfId="0" applyFont="1" applyAlignment="1" applyProtection="1">
      <alignment horizontal="center" textRotation="90"/>
      <protection hidden="1"/>
    </xf>
    <xf numFmtId="0" fontId="3" fillId="0" borderId="43" xfId="0" applyFont="1" applyBorder="1" applyAlignment="1" applyProtection="1">
      <alignment horizontal="center" textRotation="90"/>
      <protection hidden="1"/>
    </xf>
    <xf numFmtId="0" fontId="3" fillId="0" borderId="118" xfId="0" quotePrefix="1" applyNumberFormat="1" applyFont="1" applyBorder="1" applyAlignment="1" applyProtection="1">
      <alignment horizontal="center"/>
      <protection hidden="1"/>
    </xf>
    <xf numFmtId="0" fontId="3" fillId="0" borderId="126" xfId="0" quotePrefix="1" applyNumberFormat="1" applyFont="1" applyBorder="1" applyAlignment="1" applyProtection="1">
      <alignment horizontal="center"/>
      <protection hidden="1"/>
    </xf>
    <xf numFmtId="0" fontId="3" fillId="0" borderId="102" xfId="0" quotePrefix="1" applyNumberFormat="1" applyFont="1" applyBorder="1" applyAlignment="1" applyProtection="1">
      <alignment horizontal="center"/>
      <protection hidden="1"/>
    </xf>
    <xf numFmtId="0" fontId="3" fillId="0" borderId="0" xfId="0" applyFont="1" applyAlignment="1">
      <alignment horizontal="center" textRotation="90"/>
    </xf>
    <xf numFmtId="0" fontId="3" fillId="0" borderId="0" xfId="0" applyFont="1" applyBorder="1" applyAlignment="1">
      <alignment horizontal="center" textRotation="90"/>
    </xf>
    <xf numFmtId="0" fontId="3" fillId="0" borderId="0" xfId="0" applyFont="1" applyAlignment="1" applyProtection="1">
      <alignment horizontal="center" wrapText="1"/>
      <protection hidden="1"/>
    </xf>
    <xf numFmtId="0" fontId="3" fillId="11" borderId="174" xfId="0" applyFont="1" applyFill="1" applyBorder="1" applyAlignment="1" applyProtection="1">
      <alignment horizontal="center"/>
      <protection hidden="1"/>
    </xf>
    <xf numFmtId="0" fontId="3" fillId="11" borderId="105" xfId="0" applyFont="1" applyFill="1" applyBorder="1" applyAlignment="1" applyProtection="1">
      <alignment horizontal="center"/>
      <protection hidden="1"/>
    </xf>
    <xf numFmtId="0" fontId="3" fillId="11" borderId="173" xfId="0" applyFont="1" applyFill="1" applyBorder="1" applyAlignment="1" applyProtection="1">
      <alignment horizontal="center"/>
      <protection hidden="1"/>
    </xf>
    <xf numFmtId="0" fontId="3" fillId="0" borderId="114" xfId="0" applyFont="1" applyBorder="1" applyAlignment="1" applyProtection="1">
      <alignment horizontal="center"/>
      <protection hidden="1"/>
    </xf>
    <xf numFmtId="0" fontId="3" fillId="0" borderId="127" xfId="0" applyFont="1" applyBorder="1" applyAlignment="1" applyProtection="1">
      <alignment horizontal="center"/>
      <protection hidden="1"/>
    </xf>
    <xf numFmtId="169" fontId="2" fillId="0" borderId="0" xfId="0" applyNumberFormat="1" applyFont="1" applyAlignment="1">
      <alignment horizontal="left"/>
    </xf>
    <xf numFmtId="173" fontId="4" fillId="0" borderId="0" xfId="0" applyNumberFormat="1" applyFont="1" applyAlignment="1" applyProtection="1">
      <alignment horizontal="left"/>
      <protection hidden="1"/>
    </xf>
    <xf numFmtId="0" fontId="3" fillId="2" borderId="174" xfId="0" applyFont="1" applyFill="1" applyBorder="1" applyAlignment="1" applyProtection="1">
      <alignment horizontal="center"/>
      <protection hidden="1"/>
    </xf>
    <xf numFmtId="0" fontId="3" fillId="2" borderId="105" xfId="0" applyFont="1" applyFill="1" applyBorder="1" applyAlignment="1" applyProtection="1">
      <alignment horizontal="center"/>
      <protection hidden="1"/>
    </xf>
    <xf numFmtId="169" fontId="46" fillId="0" borderId="0" xfId="0" applyNumberFormat="1" applyFont="1" applyAlignment="1">
      <alignment horizontal="left"/>
    </xf>
    <xf numFmtId="0" fontId="6" fillId="0" borderId="32" xfId="0" applyFont="1" applyBorder="1" applyAlignment="1" applyProtection="1">
      <alignment horizontal="left"/>
      <protection hidden="1"/>
    </xf>
    <xf numFmtId="0" fontId="6" fillId="0" borderId="36" xfId="0" applyFont="1" applyBorder="1" applyAlignment="1" applyProtection="1">
      <alignment horizontal="left"/>
      <protection hidden="1"/>
    </xf>
    <xf numFmtId="0" fontId="37" fillId="4" borderId="118" xfId="0" applyFont="1" applyFill="1" applyBorder="1" applyAlignment="1" applyProtection="1">
      <alignment horizontal="center" vertical="center" wrapText="1"/>
      <protection hidden="1"/>
    </xf>
    <xf numFmtId="0" fontId="0" fillId="0" borderId="126" xfId="0" applyBorder="1" applyAlignment="1">
      <alignment horizontal="center" vertical="center" wrapText="1"/>
    </xf>
    <xf numFmtId="0" fontId="0" fillId="0" borderId="102" xfId="0" applyBorder="1" applyAlignment="1">
      <alignment horizontal="center" vertical="center" wrapText="1"/>
    </xf>
    <xf numFmtId="0" fontId="0" fillId="0" borderId="119" xfId="0" applyBorder="1" applyAlignment="1">
      <alignment horizontal="center" vertical="center" wrapText="1"/>
    </xf>
    <xf numFmtId="0" fontId="0" fillId="0" borderId="0" xfId="0" applyBorder="1" applyAlignment="1">
      <alignment horizontal="center" vertical="center" wrapText="1"/>
    </xf>
    <xf numFmtId="0" fontId="0" fillId="0" borderId="41" xfId="0" applyBorder="1" applyAlignment="1">
      <alignment horizontal="center" vertical="center" wrapText="1"/>
    </xf>
    <xf numFmtId="0" fontId="0" fillId="0" borderId="115" xfId="0" applyBorder="1" applyAlignment="1">
      <alignment horizontal="center" vertical="center" wrapText="1"/>
    </xf>
    <xf numFmtId="0" fontId="0" fillId="0" borderId="43" xfId="0" applyBorder="1" applyAlignment="1">
      <alignment horizontal="center" vertical="center" wrapText="1"/>
    </xf>
    <xf numFmtId="0" fontId="0" fillId="0" borderId="57" xfId="0" applyBorder="1" applyAlignment="1">
      <alignment horizontal="center" vertical="center" wrapText="1"/>
    </xf>
    <xf numFmtId="0" fontId="24" fillId="0" borderId="86" xfId="0" applyFont="1" applyBorder="1" applyAlignment="1" applyProtection="1">
      <alignment horizontal="center" vertical="center" textRotation="180" shrinkToFit="1"/>
      <protection hidden="1"/>
    </xf>
    <xf numFmtId="0" fontId="24" fillId="0" borderId="91" xfId="0" applyFont="1" applyBorder="1" applyAlignment="1" applyProtection="1">
      <alignment horizontal="center" vertical="center" textRotation="180" shrinkToFit="1"/>
      <protection hidden="1"/>
    </xf>
    <xf numFmtId="0" fontId="6" fillId="0" borderId="30" xfId="0" applyFont="1" applyBorder="1" applyAlignment="1" applyProtection="1">
      <alignment horizontal="left"/>
      <protection hidden="1"/>
    </xf>
    <xf numFmtId="0" fontId="8" fillId="0" borderId="62" xfId="0" applyFont="1" applyBorder="1" applyAlignment="1" applyProtection="1">
      <alignment horizontal="center" vertical="center"/>
      <protection hidden="1"/>
    </xf>
    <xf numFmtId="0" fontId="8" fillId="0" borderId="64" xfId="0" applyFont="1" applyBorder="1" applyAlignment="1" applyProtection="1">
      <alignment horizontal="center" vertical="center"/>
      <protection hidden="1"/>
    </xf>
    <xf numFmtId="0" fontId="6" fillId="0" borderId="32" xfId="0" applyFont="1" applyBorder="1" applyAlignment="1" applyProtection="1">
      <alignment horizontal="left"/>
      <protection locked="0"/>
    </xf>
    <xf numFmtId="0" fontId="6" fillId="0" borderId="30" xfId="0" applyFont="1" applyBorder="1" applyAlignment="1" applyProtection="1">
      <alignment horizontal="left"/>
      <protection locked="0"/>
    </xf>
    <xf numFmtId="0" fontId="6" fillId="0" borderId="36" xfId="0" applyFont="1" applyBorder="1" applyAlignment="1" applyProtection="1">
      <alignment horizontal="left"/>
      <protection locked="0"/>
    </xf>
    <xf numFmtId="0" fontId="24" fillId="0" borderId="86" xfId="0" applyFont="1" applyBorder="1" applyAlignment="1" applyProtection="1">
      <alignment horizontal="center" vertical="center" textRotation="180" wrapText="1"/>
      <protection hidden="1"/>
    </xf>
    <xf numFmtId="0" fontId="24" fillId="0" borderId="91" xfId="0" applyFont="1" applyBorder="1" applyAlignment="1" applyProtection="1">
      <alignment horizontal="center" vertical="center" textRotation="180" wrapText="1"/>
      <protection hidden="1"/>
    </xf>
    <xf numFmtId="0" fontId="36" fillId="6" borderId="118" xfId="0" applyFont="1" applyFill="1" applyBorder="1" applyAlignment="1" applyProtection="1">
      <alignment horizontal="center"/>
      <protection hidden="1"/>
    </xf>
    <xf numFmtId="0" fontId="36" fillId="6" borderId="126" xfId="0" applyFont="1" applyFill="1" applyBorder="1" applyAlignment="1" applyProtection="1">
      <alignment horizontal="center"/>
      <protection hidden="1"/>
    </xf>
    <xf numFmtId="0" fontId="36" fillId="6" borderId="102" xfId="0" applyFont="1" applyFill="1" applyBorder="1" applyAlignment="1" applyProtection="1">
      <alignment horizontal="center"/>
      <protection hidden="1"/>
    </xf>
    <xf numFmtId="0" fontId="36" fillId="6" borderId="115" xfId="0" applyFont="1" applyFill="1" applyBorder="1" applyAlignment="1" applyProtection="1">
      <alignment horizontal="center"/>
      <protection hidden="1"/>
    </xf>
    <xf numFmtId="0" fontId="36" fillId="6" borderId="43" xfId="0" applyFont="1" applyFill="1" applyBorder="1" applyAlignment="1" applyProtection="1">
      <alignment horizontal="center"/>
      <protection hidden="1"/>
    </xf>
    <xf numFmtId="0" fontId="36" fillId="6" borderId="57" xfId="0" applyFont="1" applyFill="1" applyBorder="1" applyAlignment="1" applyProtection="1">
      <alignment horizontal="center"/>
      <protection hidden="1"/>
    </xf>
    <xf numFmtId="0" fontId="6" fillId="2" borderId="136" xfId="0" applyFont="1" applyFill="1" applyBorder="1" applyAlignment="1" applyProtection="1">
      <alignment horizontal="center"/>
      <protection hidden="1"/>
    </xf>
    <xf numFmtId="0" fontId="6" fillId="2" borderId="10" xfId="0" applyFont="1" applyFill="1" applyBorder="1" applyAlignment="1" applyProtection="1">
      <alignment horizontal="center"/>
      <protection hidden="1"/>
    </xf>
    <xf numFmtId="0" fontId="6" fillId="2" borderId="7" xfId="0" applyFont="1" applyFill="1" applyBorder="1" applyAlignment="1" applyProtection="1">
      <alignment horizontal="center"/>
      <protection hidden="1"/>
    </xf>
    <xf numFmtId="0" fontId="3" fillId="0" borderId="0" xfId="0" applyFont="1" applyAlignment="1" applyProtection="1">
      <alignment horizontal="center"/>
      <protection hidden="1"/>
    </xf>
    <xf numFmtId="0" fontId="3" fillId="0" borderId="43" xfId="0" applyFont="1" applyBorder="1" applyAlignment="1" applyProtection="1">
      <alignment horizontal="center"/>
      <protection hidden="1"/>
    </xf>
    <xf numFmtId="0" fontId="3" fillId="2" borderId="173" xfId="0" applyFont="1" applyFill="1" applyBorder="1" applyAlignment="1" applyProtection="1">
      <alignment horizontal="center"/>
      <protection hidden="1"/>
    </xf>
    <xf numFmtId="0" fontId="21" fillId="4" borderId="44" xfId="0" applyFont="1" applyFill="1" applyBorder="1" applyAlignment="1" applyProtection="1">
      <alignment horizontal="center" vertical="center"/>
      <protection locked="0"/>
    </xf>
    <xf numFmtId="0" fontId="3" fillId="0" borderId="114" xfId="0" applyFont="1" applyBorder="1" applyProtection="1">
      <protection locked="0"/>
    </xf>
    <xf numFmtId="0" fontId="3" fillId="0" borderId="127" xfId="0" applyFont="1" applyBorder="1" applyProtection="1">
      <protection locked="0"/>
    </xf>
    <xf numFmtId="0" fontId="6" fillId="2" borderId="114" xfId="0" applyFont="1" applyFill="1" applyBorder="1" applyAlignment="1" applyProtection="1">
      <alignment horizontal="center"/>
      <protection hidden="1"/>
    </xf>
    <xf numFmtId="0" fontId="22" fillId="3" borderId="118" xfId="0" applyNumberFormat="1" applyFont="1" applyFill="1" applyBorder="1" applyAlignment="1" applyProtection="1">
      <alignment horizontal="center" vertical="center" shrinkToFit="1"/>
      <protection hidden="1"/>
    </xf>
    <xf numFmtId="0" fontId="3" fillId="0" borderId="126" xfId="0" applyNumberFormat="1" applyFont="1" applyBorder="1" applyAlignment="1" applyProtection="1">
      <alignment shrinkToFit="1"/>
      <protection hidden="1"/>
    </xf>
    <xf numFmtId="0" fontId="3" fillId="0" borderId="102" xfId="0" applyNumberFormat="1" applyFont="1" applyBorder="1" applyAlignment="1" applyProtection="1">
      <alignment shrinkToFit="1"/>
      <protection hidden="1"/>
    </xf>
    <xf numFmtId="0" fontId="3" fillId="0" borderId="115" xfId="0" applyNumberFormat="1" applyFont="1" applyBorder="1" applyAlignment="1" applyProtection="1">
      <alignment shrinkToFit="1"/>
      <protection hidden="1"/>
    </xf>
    <xf numFmtId="0" fontId="3" fillId="0" borderId="43" xfId="0" applyNumberFormat="1" applyFont="1" applyBorder="1" applyAlignment="1" applyProtection="1">
      <alignment shrinkToFit="1"/>
      <protection hidden="1"/>
    </xf>
    <xf numFmtId="0" fontId="3" fillId="0" borderId="57" xfId="0" applyNumberFormat="1" applyFont="1" applyBorder="1" applyAlignment="1" applyProtection="1">
      <alignment shrinkToFit="1"/>
      <protection hidden="1"/>
    </xf>
    <xf numFmtId="0" fontId="3" fillId="0" borderId="0" xfId="0" applyFont="1" applyAlignment="1" applyProtection="1">
      <alignment horizontal="center" vertical="center" wrapText="1"/>
      <protection hidden="1"/>
    </xf>
    <xf numFmtId="0" fontId="2" fillId="0" borderId="0" xfId="0" applyFont="1" applyAlignment="1">
      <alignment horizontal="center" wrapText="1"/>
    </xf>
    <xf numFmtId="0" fontId="0" fillId="0" borderId="0" xfId="0" applyAlignment="1">
      <alignment horizontal="center" wrapText="1"/>
    </xf>
    <xf numFmtId="0" fontId="3" fillId="7" borderId="118" xfId="0" applyFont="1" applyFill="1" applyBorder="1" applyAlignment="1" applyProtection="1">
      <alignment horizontal="center" vertical="center"/>
      <protection hidden="1"/>
    </xf>
    <xf numFmtId="0" fontId="3" fillId="7" borderId="126" xfId="0" applyFont="1" applyFill="1" applyBorder="1" applyAlignment="1" applyProtection="1">
      <alignment horizontal="center" vertical="center"/>
      <protection hidden="1"/>
    </xf>
    <xf numFmtId="0" fontId="3" fillId="7" borderId="102" xfId="0" applyFont="1" applyFill="1" applyBorder="1" applyAlignment="1" applyProtection="1">
      <alignment horizontal="center" vertical="center"/>
      <protection hidden="1"/>
    </xf>
    <xf numFmtId="0" fontId="3" fillId="7" borderId="115" xfId="0" applyFont="1" applyFill="1" applyBorder="1" applyAlignment="1" applyProtection="1">
      <alignment horizontal="center" vertical="center"/>
      <protection hidden="1"/>
    </xf>
    <xf numFmtId="0" fontId="3" fillId="7" borderId="43" xfId="0" applyFont="1" applyFill="1" applyBorder="1" applyAlignment="1" applyProtection="1">
      <alignment horizontal="center" vertical="center"/>
      <protection hidden="1"/>
    </xf>
    <xf numFmtId="0" fontId="3" fillId="7" borderId="57" xfId="0" applyFont="1" applyFill="1" applyBorder="1" applyAlignment="1" applyProtection="1">
      <alignment horizontal="center" vertical="center"/>
      <protection hidden="1"/>
    </xf>
    <xf numFmtId="1" fontId="4" fillId="0" borderId="86" xfId="0" applyNumberFormat="1" applyFont="1" applyBorder="1" applyAlignment="1" applyProtection="1">
      <alignment horizontal="center" vertical="center"/>
      <protection hidden="1"/>
    </xf>
    <xf numFmtId="1" fontId="4" fillId="0" borderId="83" xfId="0" applyNumberFormat="1" applyFont="1" applyBorder="1" applyAlignment="1" applyProtection="1">
      <alignment horizontal="center" vertical="center"/>
      <protection hidden="1"/>
    </xf>
    <xf numFmtId="1" fontId="4" fillId="0" borderId="86" xfId="0" applyNumberFormat="1" applyFont="1" applyBorder="1" applyAlignment="1" applyProtection="1">
      <alignment horizontal="center" vertical="center" wrapText="1"/>
      <protection hidden="1"/>
    </xf>
    <xf numFmtId="1" fontId="4" fillId="0" borderId="91" xfId="0" applyNumberFormat="1" applyFont="1" applyBorder="1" applyAlignment="1" applyProtection="1">
      <alignment horizontal="center" vertical="center" wrapText="1"/>
      <protection hidden="1"/>
    </xf>
    <xf numFmtId="1" fontId="4" fillId="0" borderId="83" xfId="0" applyNumberFormat="1" applyFont="1" applyBorder="1" applyAlignment="1" applyProtection="1">
      <alignment horizontal="center" vertical="center" wrapText="1"/>
      <protection hidden="1"/>
    </xf>
    <xf numFmtId="0" fontId="3" fillId="0" borderId="118" xfId="0" applyFont="1" applyBorder="1" applyAlignment="1" applyProtection="1">
      <alignment horizontal="center" vertical="center" wrapText="1"/>
      <protection hidden="1"/>
    </xf>
    <xf numFmtId="0" fontId="3" fillId="0" borderId="126" xfId="0" applyFont="1" applyBorder="1" applyAlignment="1" applyProtection="1">
      <alignment horizontal="center" vertical="center" wrapText="1"/>
      <protection hidden="1"/>
    </xf>
    <xf numFmtId="0" fontId="3" fillId="0" borderId="102" xfId="0" applyFont="1" applyBorder="1" applyAlignment="1" applyProtection="1">
      <alignment horizontal="center" vertical="center" wrapText="1"/>
      <protection hidden="1"/>
    </xf>
    <xf numFmtId="0" fontId="3" fillId="0" borderId="115" xfId="0" applyFont="1" applyBorder="1" applyAlignment="1" applyProtection="1">
      <alignment horizontal="center" vertical="center" wrapText="1"/>
      <protection hidden="1"/>
    </xf>
    <xf numFmtId="0" fontId="3" fillId="0" borderId="43" xfId="0" applyFont="1" applyBorder="1" applyAlignment="1" applyProtection="1">
      <alignment horizontal="center" vertical="center" wrapText="1"/>
      <protection hidden="1"/>
    </xf>
    <xf numFmtId="0" fontId="3" fillId="0" borderId="57" xfId="0" applyFont="1" applyBorder="1" applyAlignment="1" applyProtection="1">
      <alignment horizontal="center" vertical="center" wrapText="1"/>
      <protection hidden="1"/>
    </xf>
    <xf numFmtId="0" fontId="3" fillId="0" borderId="115" xfId="0" applyFont="1" applyBorder="1" applyAlignment="1" applyProtection="1">
      <alignment horizontal="center"/>
      <protection hidden="1"/>
    </xf>
    <xf numFmtId="0" fontId="3" fillId="0" borderId="57" xfId="0" applyFont="1" applyBorder="1" applyAlignment="1" applyProtection="1">
      <alignment horizontal="center"/>
      <protection hidden="1"/>
    </xf>
    <xf numFmtId="0" fontId="3" fillId="0" borderId="44" xfId="0" applyFont="1" applyBorder="1" applyAlignment="1" applyProtection="1">
      <alignment horizontal="center" vertical="center" wrapText="1"/>
      <protection hidden="1"/>
    </xf>
    <xf numFmtId="0" fontId="3" fillId="0" borderId="114" xfId="0" applyFont="1" applyBorder="1" applyAlignment="1" applyProtection="1">
      <alignment horizontal="center" vertical="center" wrapText="1"/>
      <protection hidden="1"/>
    </xf>
    <xf numFmtId="0" fontId="3" fillId="0" borderId="127" xfId="0" applyFont="1" applyBorder="1" applyAlignment="1" applyProtection="1">
      <alignment horizontal="center" vertical="center" wrapText="1"/>
      <protection hidden="1"/>
    </xf>
    <xf numFmtId="0" fontId="29" fillId="0" borderId="0" xfId="0" applyFont="1" applyAlignment="1" applyProtection="1">
      <alignment horizontal="center" vertical="center"/>
      <protection hidden="1"/>
    </xf>
    <xf numFmtId="0" fontId="27" fillId="0" borderId="10" xfId="0" applyFont="1" applyBorder="1" applyAlignment="1" applyProtection="1">
      <alignment horizontal="center"/>
      <protection hidden="1"/>
    </xf>
    <xf numFmtId="0" fontId="27" fillId="0" borderId="13" xfId="0" applyFont="1" applyBorder="1" applyAlignment="1" applyProtection="1">
      <alignment horizontal="center"/>
      <protection hidden="1"/>
    </xf>
    <xf numFmtId="0" fontId="4" fillId="0" borderId="114" xfId="0" applyFont="1" applyFill="1" applyBorder="1" applyAlignment="1" applyProtection="1">
      <alignment horizontal="center"/>
      <protection hidden="1"/>
    </xf>
    <xf numFmtId="0" fontId="3" fillId="0" borderId="86" xfId="0" applyFont="1" applyBorder="1" applyAlignment="1" applyProtection="1">
      <alignment horizontal="center" vertical="center" wrapText="1"/>
      <protection hidden="1"/>
    </xf>
    <xf numFmtId="0" fontId="4" fillId="0" borderId="91" xfId="0" applyFont="1" applyBorder="1" applyAlignment="1" applyProtection="1">
      <alignment horizontal="center" vertical="center" wrapText="1"/>
      <protection hidden="1"/>
    </xf>
    <xf numFmtId="0" fontId="4" fillId="0" borderId="83" xfId="0" applyFont="1" applyBorder="1" applyAlignment="1" applyProtection="1">
      <alignment horizontal="center" vertical="center" wrapText="1"/>
      <protection hidden="1"/>
    </xf>
    <xf numFmtId="0" fontId="24" fillId="0" borderId="0" xfId="0" applyFont="1" applyAlignment="1" applyProtection="1">
      <alignment horizontal="left" vertical="center"/>
      <protection hidden="1"/>
    </xf>
    <xf numFmtId="0" fontId="24" fillId="0" borderId="0" xfId="0" applyNumberFormat="1" applyFont="1" applyAlignment="1" applyProtection="1">
      <alignment horizontal="left" vertical="center"/>
      <protection hidden="1"/>
    </xf>
    <xf numFmtId="0" fontId="27" fillId="0" borderId="118" xfId="0" applyFont="1" applyBorder="1" applyAlignment="1">
      <alignment horizontal="center" vertical="center" wrapText="1"/>
    </xf>
    <xf numFmtId="0" fontId="27" fillId="0" borderId="102" xfId="0" applyFont="1" applyBorder="1" applyAlignment="1">
      <alignment horizontal="center" vertical="center" wrapText="1"/>
    </xf>
    <xf numFmtId="0" fontId="27" fillId="0" borderId="119" xfId="0" applyFont="1" applyBorder="1" applyAlignment="1">
      <alignment horizontal="center" vertical="center" wrapText="1"/>
    </xf>
    <xf numFmtId="0" fontId="27" fillId="0" borderId="41" xfId="0" applyFont="1" applyBorder="1" applyAlignment="1">
      <alignment horizontal="center" vertical="center" wrapText="1"/>
    </xf>
    <xf numFmtId="0" fontId="27" fillId="0" borderId="115" xfId="0" applyFont="1" applyBorder="1" applyAlignment="1">
      <alignment horizontal="center" vertical="center" wrapText="1"/>
    </xf>
    <xf numFmtId="0" fontId="27" fillId="0" borderId="57" xfId="0" applyFont="1" applyBorder="1" applyAlignment="1">
      <alignment horizontal="center" vertical="center" wrapText="1"/>
    </xf>
    <xf numFmtId="0" fontId="27" fillId="0" borderId="118" xfId="0" applyFont="1" applyBorder="1" applyAlignment="1" applyProtection="1">
      <alignment horizontal="center" vertical="center" wrapText="1"/>
      <protection hidden="1"/>
    </xf>
    <xf numFmtId="0" fontId="27" fillId="0" borderId="102" xfId="0" applyFont="1" applyBorder="1" applyAlignment="1" applyProtection="1">
      <alignment horizontal="center" vertical="center" wrapText="1"/>
      <protection hidden="1"/>
    </xf>
    <xf numFmtId="0" fontId="27" fillId="0" borderId="119" xfId="0" applyFont="1" applyBorder="1" applyAlignment="1" applyProtection="1">
      <alignment horizontal="center" vertical="center" wrapText="1"/>
      <protection hidden="1"/>
    </xf>
    <xf numFmtId="0" fontId="27" fillId="0" borderId="41" xfId="0" applyFont="1" applyBorder="1" applyAlignment="1" applyProtection="1">
      <alignment horizontal="center" vertical="center" wrapText="1"/>
      <protection hidden="1"/>
    </xf>
    <xf numFmtId="0" fontId="27" fillId="0" borderId="115" xfId="0" applyFont="1" applyBorder="1" applyAlignment="1" applyProtection="1">
      <alignment horizontal="center" vertical="center" wrapText="1"/>
      <protection hidden="1"/>
    </xf>
    <xf numFmtId="0" fontId="27" fillId="0" borderId="57" xfId="0" applyFont="1" applyBorder="1" applyAlignment="1" applyProtection="1">
      <alignment horizontal="center" vertical="center" wrapText="1"/>
      <protection hidden="1"/>
    </xf>
    <xf numFmtId="0" fontId="35" fillId="0" borderId="0" xfId="0" applyFont="1" applyAlignment="1">
      <alignment horizontal="center"/>
    </xf>
    <xf numFmtId="0" fontId="34" fillId="0" borderId="0" xfId="0" applyFont="1" applyAlignment="1"/>
    <xf numFmtId="0" fontId="33" fillId="0" borderId="0" xfId="0" applyFont="1" applyAlignment="1">
      <alignment horizontal="center"/>
    </xf>
    <xf numFmtId="0" fontId="3" fillId="0" borderId="0" xfId="0" applyFont="1" applyAlignment="1" applyProtection="1">
      <alignment horizontal="right" indent="1"/>
      <protection hidden="1"/>
    </xf>
    <xf numFmtId="0" fontId="40" fillId="0" borderId="0" xfId="0" applyFont="1" applyAlignment="1" applyProtection="1">
      <alignment horizontal="center" shrinkToFit="1"/>
      <protection hidden="1"/>
    </xf>
    <xf numFmtId="0" fontId="3" fillId="0" borderId="0" xfId="0" applyFont="1" applyAlignment="1" applyProtection="1">
      <alignment horizontal="left"/>
      <protection hidden="1"/>
    </xf>
    <xf numFmtId="0" fontId="26" fillId="0" borderId="0" xfId="0" applyNumberFormat="1" applyFont="1" applyAlignment="1" applyProtection="1">
      <alignment horizontal="center" vertical="center"/>
      <protection hidden="1"/>
    </xf>
    <xf numFmtId="0" fontId="8" fillId="0" borderId="0" xfId="0" applyFont="1" applyAlignment="1" applyProtection="1">
      <alignment horizontal="center"/>
      <protection locked="0"/>
    </xf>
    <xf numFmtId="0" fontId="4" fillId="0" borderId="0" xfId="0" applyFont="1" applyAlignment="1">
      <alignment horizontal="left"/>
    </xf>
    <xf numFmtId="0" fontId="25" fillId="0" borderId="0" xfId="0" applyFont="1" applyAlignment="1" applyProtection="1">
      <alignment horizontal="center" vertical="center" wrapText="1"/>
      <protection hidden="1"/>
    </xf>
    <xf numFmtId="0" fontId="3" fillId="0" borderId="111" xfId="0" applyFont="1" applyBorder="1" applyAlignment="1">
      <alignment horizontal="center"/>
    </xf>
    <xf numFmtId="0" fontId="4" fillId="17" borderId="118" xfId="0" applyFont="1" applyFill="1" applyBorder="1" applyAlignment="1">
      <alignment horizontal="center"/>
    </xf>
    <xf numFmtId="0" fontId="4" fillId="17" borderId="126" xfId="0" applyFont="1" applyFill="1" applyBorder="1" applyAlignment="1">
      <alignment horizontal="center"/>
    </xf>
    <xf numFmtId="0" fontId="4" fillId="17" borderId="102" xfId="0" applyFont="1" applyFill="1" applyBorder="1" applyAlignment="1">
      <alignment horizontal="center"/>
    </xf>
    <xf numFmtId="0" fontId="4" fillId="17" borderId="115" xfId="0" applyFont="1" applyFill="1" applyBorder="1" applyAlignment="1">
      <alignment horizontal="center"/>
    </xf>
    <xf numFmtId="0" fontId="4" fillId="17" borderId="43" xfId="0" applyFont="1" applyFill="1" applyBorder="1" applyAlignment="1">
      <alignment horizontal="center"/>
    </xf>
    <xf numFmtId="0" fontId="4" fillId="17" borderId="57" xfId="0" applyFont="1" applyFill="1" applyBorder="1" applyAlignment="1">
      <alignment horizontal="center"/>
    </xf>
    <xf numFmtId="0" fontId="3" fillId="7" borderId="115" xfId="0" applyFont="1" applyFill="1" applyBorder="1" applyAlignment="1" applyProtection="1">
      <alignment horizontal="center" wrapText="1"/>
      <protection hidden="1"/>
    </xf>
    <xf numFmtId="0" fontId="3" fillId="7" borderId="43" xfId="0" applyFont="1" applyFill="1" applyBorder="1" applyAlignment="1" applyProtection="1">
      <alignment horizontal="center" wrapText="1"/>
      <protection hidden="1"/>
    </xf>
    <xf numFmtId="0" fontId="3" fillId="7" borderId="57" xfId="0" applyFont="1" applyFill="1" applyBorder="1" applyAlignment="1" applyProtection="1">
      <alignment horizontal="center" wrapText="1"/>
      <protection hidden="1"/>
    </xf>
    <xf numFmtId="0" fontId="4" fillId="7" borderId="119" xfId="0" applyFont="1" applyFill="1" applyBorder="1" applyAlignment="1" applyProtection="1">
      <alignment horizontal="center" wrapText="1"/>
      <protection hidden="1"/>
    </xf>
    <xf numFmtId="0" fontId="3" fillId="7" borderId="0" xfId="0" applyFont="1" applyFill="1" applyBorder="1" applyAlignment="1" applyProtection="1">
      <alignment horizontal="center" wrapText="1"/>
      <protection hidden="1"/>
    </xf>
    <xf numFmtId="0" fontId="3" fillId="7" borderId="41" xfId="0" applyFont="1" applyFill="1" applyBorder="1" applyAlignment="1" applyProtection="1">
      <alignment horizontal="center" wrapText="1"/>
      <protection hidden="1"/>
    </xf>
    <xf numFmtId="0" fontId="3" fillId="7" borderId="44" xfId="0" applyFont="1" applyFill="1" applyBorder="1" applyAlignment="1" applyProtection="1">
      <alignment horizontal="center" wrapText="1"/>
      <protection hidden="1"/>
    </xf>
    <xf numFmtId="0" fontId="3" fillId="7" borderId="114" xfId="0" applyFont="1" applyFill="1" applyBorder="1" applyAlignment="1" applyProtection="1">
      <alignment horizontal="center" wrapText="1"/>
      <protection hidden="1"/>
    </xf>
    <xf numFmtId="0" fontId="3" fillId="7" borderId="127" xfId="0" applyFont="1" applyFill="1" applyBorder="1" applyAlignment="1" applyProtection="1">
      <alignment horizontal="center" wrapText="1"/>
      <protection hidden="1"/>
    </xf>
    <xf numFmtId="171" fontId="18" fillId="3" borderId="186" xfId="0" applyNumberFormat="1" applyFont="1" applyFill="1" applyBorder="1" applyAlignment="1" applyProtection="1">
      <alignment horizontal="center"/>
      <protection locked="0"/>
    </xf>
    <xf numFmtId="171" fontId="18" fillId="3" borderId="187" xfId="0" applyNumberFormat="1" applyFont="1" applyFill="1" applyBorder="1" applyAlignment="1" applyProtection="1">
      <alignment horizontal="center"/>
      <protection locked="0"/>
    </xf>
    <xf numFmtId="0" fontId="3" fillId="7" borderId="118" xfId="0" applyFont="1" applyFill="1" applyBorder="1" applyAlignment="1" applyProtection="1">
      <alignment horizontal="center" wrapText="1"/>
      <protection hidden="1"/>
    </xf>
    <xf numFmtId="0" fontId="3" fillId="7" borderId="126" xfId="0" applyFont="1" applyFill="1" applyBorder="1" applyAlignment="1" applyProtection="1">
      <alignment horizontal="center" wrapText="1"/>
      <protection hidden="1"/>
    </xf>
    <xf numFmtId="0" fontId="3" fillId="7" borderId="102" xfId="0" applyFont="1" applyFill="1" applyBorder="1" applyAlignment="1" applyProtection="1">
      <alignment horizontal="center" wrapText="1"/>
      <protection hidden="1"/>
    </xf>
    <xf numFmtId="0" fontId="3" fillId="7" borderId="119" xfId="0" applyFont="1" applyFill="1" applyBorder="1" applyAlignment="1" applyProtection="1">
      <alignment horizontal="center" wrapText="1"/>
      <protection hidden="1"/>
    </xf>
    <xf numFmtId="16" fontId="8" fillId="4" borderId="184" xfId="0" applyNumberFormat="1" applyFont="1" applyFill="1" applyBorder="1" applyAlignment="1" applyProtection="1">
      <alignment horizontal="center" vertical="center" wrapText="1"/>
      <protection locked="0"/>
    </xf>
    <xf numFmtId="16" fontId="8" fillId="4" borderId="185" xfId="0" applyNumberFormat="1" applyFont="1" applyFill="1" applyBorder="1" applyAlignment="1" applyProtection="1">
      <alignment horizontal="center" vertical="center" wrapText="1"/>
      <protection locked="0"/>
    </xf>
    <xf numFmtId="16" fontId="8" fillId="4" borderId="184" xfId="0" applyNumberFormat="1" applyFont="1" applyFill="1" applyBorder="1" applyAlignment="1" applyProtection="1">
      <alignment horizontal="center" vertical="center" shrinkToFit="1"/>
      <protection locked="0"/>
    </xf>
    <xf numFmtId="16" fontId="8" fillId="4" borderId="185" xfId="0" applyNumberFormat="1" applyFont="1" applyFill="1" applyBorder="1" applyAlignment="1" applyProtection="1">
      <alignment horizontal="center" vertical="center" shrinkToFit="1"/>
      <protection locked="0"/>
    </xf>
    <xf numFmtId="16" fontId="3" fillId="2" borderId="94" xfId="0" applyNumberFormat="1" applyFont="1" applyFill="1" applyBorder="1" applyAlignment="1" applyProtection="1">
      <alignment horizontal="center" textRotation="90"/>
      <protection hidden="1"/>
    </xf>
    <xf numFmtId="16" fontId="3" fillId="2" borderId="116" xfId="0" applyNumberFormat="1" applyFont="1" applyFill="1" applyBorder="1" applyAlignment="1" applyProtection="1">
      <alignment horizontal="center" textRotation="90"/>
      <protection hidden="1"/>
    </xf>
    <xf numFmtId="0" fontId="14" fillId="4" borderId="86" xfId="0" applyFont="1" applyFill="1" applyBorder="1" applyAlignment="1" applyProtection="1">
      <alignment horizontal="center" textRotation="90" wrapText="1"/>
      <protection hidden="1"/>
    </xf>
    <xf numFmtId="0" fontId="14" fillId="4" borderId="83" xfId="0" applyFont="1" applyFill="1" applyBorder="1" applyAlignment="1" applyProtection="1">
      <alignment horizontal="center" textRotation="90" wrapText="1"/>
      <protection hidden="1"/>
    </xf>
    <xf numFmtId="16" fontId="3" fillId="2" borderId="92" xfId="0" applyNumberFormat="1" applyFont="1" applyFill="1" applyBorder="1" applyAlignment="1" applyProtection="1">
      <alignment horizontal="center" textRotation="90"/>
      <protection hidden="1"/>
    </xf>
    <xf numFmtId="16" fontId="3" fillId="2" borderId="171" xfId="0" applyNumberFormat="1" applyFont="1" applyFill="1" applyBorder="1" applyAlignment="1" applyProtection="1">
      <alignment horizontal="center" textRotation="90"/>
      <protection hidden="1"/>
    </xf>
    <xf numFmtId="16" fontId="3" fillId="3" borderId="48" xfId="0" applyNumberFormat="1" applyFont="1" applyFill="1" applyBorder="1" applyAlignment="1" applyProtection="1">
      <alignment horizontal="center" textRotation="90"/>
      <protection hidden="1"/>
    </xf>
    <xf numFmtId="16" fontId="3" fillId="3" borderId="97" xfId="0" applyNumberFormat="1" applyFont="1" applyFill="1" applyBorder="1" applyAlignment="1" applyProtection="1">
      <alignment horizontal="center" textRotation="90"/>
      <protection hidden="1"/>
    </xf>
    <xf numFmtId="16" fontId="3" fillId="3" borderId="45" xfId="0" applyNumberFormat="1" applyFont="1" applyFill="1" applyBorder="1" applyAlignment="1" applyProtection="1">
      <alignment horizontal="center" textRotation="90"/>
      <protection hidden="1"/>
    </xf>
    <xf numFmtId="16" fontId="3" fillId="3" borderId="98" xfId="0" applyNumberFormat="1" applyFont="1" applyFill="1" applyBorder="1" applyAlignment="1" applyProtection="1">
      <alignment horizontal="center" textRotation="90"/>
      <protection hidden="1"/>
    </xf>
    <xf numFmtId="16" fontId="3" fillId="3" borderId="41" xfId="0" applyNumberFormat="1" applyFont="1" applyFill="1" applyBorder="1" applyAlignment="1" applyProtection="1">
      <alignment horizontal="center" textRotation="90"/>
      <protection hidden="1"/>
    </xf>
    <xf numFmtId="16" fontId="3" fillId="3" borderId="177" xfId="0" applyNumberFormat="1" applyFont="1" applyFill="1" applyBorder="1" applyAlignment="1" applyProtection="1">
      <alignment horizontal="center" textRotation="90"/>
      <protection hidden="1"/>
    </xf>
    <xf numFmtId="0" fontId="3" fillId="0" borderId="156" xfId="0" applyFont="1" applyBorder="1" applyAlignment="1" applyProtection="1">
      <alignment horizontal="center" vertical="center"/>
      <protection locked="0"/>
    </xf>
    <xf numFmtId="0" fontId="3" fillId="0" borderId="159" xfId="0" applyFont="1" applyBorder="1" applyAlignment="1" applyProtection="1">
      <alignment horizontal="center" vertical="center"/>
      <protection locked="0"/>
    </xf>
    <xf numFmtId="0" fontId="3" fillId="0" borderId="160" xfId="0" applyFont="1" applyBorder="1" applyAlignment="1" applyProtection="1">
      <alignment horizontal="center" vertical="center"/>
      <protection locked="0"/>
    </xf>
    <xf numFmtId="0" fontId="3" fillId="0" borderId="111" xfId="0" applyFont="1" applyBorder="1" applyAlignment="1" applyProtection="1">
      <alignment horizontal="center"/>
      <protection hidden="1"/>
    </xf>
    <xf numFmtId="0" fontId="40" fillId="0" borderId="0" xfId="0" applyFont="1" applyAlignment="1" applyProtection="1">
      <alignment horizontal="center" vertical="center" shrinkToFit="1"/>
      <protection hidden="1"/>
    </xf>
    <xf numFmtId="0" fontId="25" fillId="0" borderId="0" xfId="0" applyFont="1" applyAlignment="1" applyProtection="1">
      <alignment horizontal="center"/>
      <protection locked="0"/>
    </xf>
    <xf numFmtId="0" fontId="3" fillId="0" borderId="0" xfId="0" applyFont="1" applyAlignment="1" applyProtection="1">
      <alignment horizontal="right" vertical="center" indent="1"/>
      <protection hidden="1"/>
    </xf>
    <xf numFmtId="0" fontId="24" fillId="0" borderId="44" xfId="0" applyFont="1" applyBorder="1" applyAlignment="1" applyProtection="1">
      <alignment horizontal="center"/>
      <protection hidden="1"/>
    </xf>
    <xf numFmtId="0" fontId="24" fillId="0" borderId="114" xfId="0" applyFont="1" applyBorder="1" applyAlignment="1" applyProtection="1">
      <alignment horizontal="center"/>
      <protection hidden="1"/>
    </xf>
    <xf numFmtId="0" fontId="24" fillId="0" borderId="127" xfId="0" applyFont="1" applyBorder="1" applyAlignment="1" applyProtection="1">
      <alignment horizontal="center"/>
      <protection hidden="1"/>
    </xf>
    <xf numFmtId="0" fontId="24" fillId="0" borderId="44" xfId="0" applyFont="1" applyBorder="1" applyAlignment="1" applyProtection="1">
      <alignment horizontal="center" shrinkToFit="1"/>
      <protection hidden="1"/>
    </xf>
    <xf numFmtId="0" fontId="24" fillId="0" borderId="114" xfId="0" applyFont="1" applyBorder="1" applyAlignment="1" applyProtection="1">
      <alignment horizontal="center" shrinkToFit="1"/>
      <protection hidden="1"/>
    </xf>
    <xf numFmtId="0" fontId="24" fillId="0" borderId="127" xfId="0" applyFont="1" applyBorder="1" applyAlignment="1" applyProtection="1">
      <alignment horizontal="center" shrinkToFit="1"/>
      <protection hidden="1"/>
    </xf>
    <xf numFmtId="0" fontId="14" fillId="0" borderId="118" xfId="0" applyFont="1" applyBorder="1" applyAlignment="1" applyProtection="1">
      <alignment horizontal="center" vertical="center" wrapText="1"/>
      <protection hidden="1"/>
    </xf>
    <xf numFmtId="0" fontId="14" fillId="0" borderId="126" xfId="0" applyFont="1" applyBorder="1" applyAlignment="1" applyProtection="1">
      <alignment horizontal="center" vertical="center" wrapText="1"/>
      <protection hidden="1"/>
    </xf>
    <xf numFmtId="0" fontId="14" fillId="0" borderId="102" xfId="0" applyFont="1" applyBorder="1" applyAlignment="1" applyProtection="1">
      <alignment horizontal="center" vertical="center" wrapText="1"/>
      <protection hidden="1"/>
    </xf>
    <xf numFmtId="0" fontId="14" fillId="0" borderId="119" xfId="0" applyFont="1" applyBorder="1" applyAlignment="1" applyProtection="1">
      <alignment horizontal="center" vertical="center" wrapText="1"/>
      <protection hidden="1"/>
    </xf>
    <xf numFmtId="0" fontId="14" fillId="0" borderId="0" xfId="0" applyFont="1" applyBorder="1" applyAlignment="1" applyProtection="1">
      <alignment horizontal="center" vertical="center" wrapText="1"/>
      <protection hidden="1"/>
    </xf>
    <xf numFmtId="0" fontId="14" fillId="0" borderId="41" xfId="0" applyFont="1" applyBorder="1" applyAlignment="1" applyProtection="1">
      <alignment horizontal="center" vertical="center" wrapText="1"/>
      <protection hidden="1"/>
    </xf>
    <xf numFmtId="0" fontId="14" fillId="0" borderId="115" xfId="0" applyFont="1" applyBorder="1" applyAlignment="1" applyProtection="1">
      <alignment horizontal="center" vertical="center" wrapText="1"/>
      <protection hidden="1"/>
    </xf>
    <xf numFmtId="0" fontId="14" fillId="0" borderId="43" xfId="0" applyFont="1" applyBorder="1" applyAlignment="1" applyProtection="1">
      <alignment horizontal="center" vertical="center" wrapText="1"/>
      <protection hidden="1"/>
    </xf>
    <xf numFmtId="0" fontId="14" fillId="0" borderId="57" xfId="0" applyFont="1" applyBorder="1" applyAlignment="1" applyProtection="1">
      <alignment horizontal="center" vertical="center" wrapText="1"/>
      <protection hidden="1"/>
    </xf>
    <xf numFmtId="0" fontId="9" fillId="0" borderId="119" xfId="0" applyFont="1" applyBorder="1" applyAlignment="1" applyProtection="1">
      <alignment horizontal="center" vertical="center" wrapText="1"/>
      <protection hidden="1"/>
    </xf>
    <xf numFmtId="0" fontId="3" fillId="0" borderId="41" xfId="0" applyFont="1" applyBorder="1" applyAlignment="1">
      <alignment horizontal="center" vertical="center" wrapText="1"/>
    </xf>
    <xf numFmtId="0" fontId="3" fillId="0" borderId="119" xfId="0" applyFont="1" applyBorder="1" applyAlignment="1">
      <alignment horizontal="center" vertical="center" wrapText="1"/>
    </xf>
    <xf numFmtId="0" fontId="39" fillId="0" borderId="119" xfId="0" applyFont="1" applyBorder="1" applyAlignment="1" applyProtection="1">
      <alignment horizontal="center" vertical="center" wrapText="1" shrinkToFit="1"/>
      <protection hidden="1"/>
    </xf>
    <xf numFmtId="0" fontId="39" fillId="0" borderId="0" xfId="0" applyFont="1" applyBorder="1" applyAlignment="1" applyProtection="1">
      <alignment horizontal="center" vertical="center" wrapText="1" shrinkToFit="1"/>
      <protection hidden="1"/>
    </xf>
    <xf numFmtId="0" fontId="39" fillId="0" borderId="41" xfId="0" applyFont="1" applyBorder="1" applyAlignment="1" applyProtection="1">
      <alignment horizontal="center" vertical="center" wrapText="1" shrinkToFit="1"/>
      <protection hidden="1"/>
    </xf>
    <xf numFmtId="0" fontId="39" fillId="0" borderId="115" xfId="0" applyFont="1" applyBorder="1" applyAlignment="1" applyProtection="1">
      <alignment horizontal="center" vertical="center" wrapText="1" shrinkToFit="1"/>
      <protection hidden="1"/>
    </xf>
    <xf numFmtId="0" fontId="39" fillId="0" borderId="43" xfId="0" applyFont="1" applyBorder="1" applyAlignment="1" applyProtection="1">
      <alignment horizontal="center" vertical="center" wrapText="1" shrinkToFit="1"/>
      <protection hidden="1"/>
    </xf>
    <xf numFmtId="0" fontId="39" fillId="0" borderId="57" xfId="0" applyFont="1" applyBorder="1" applyAlignment="1" applyProtection="1">
      <alignment horizontal="center" vertical="center" wrapText="1" shrinkToFit="1"/>
      <protection hidden="1"/>
    </xf>
    <xf numFmtId="16" fontId="21" fillId="0" borderId="12" xfId="0" applyNumberFormat="1" applyFont="1" applyFill="1" applyBorder="1" applyAlignment="1" applyProtection="1">
      <alignment horizontal="center" vertical="center" wrapText="1"/>
      <protection hidden="1"/>
    </xf>
    <xf numFmtId="16" fontId="21" fillId="0" borderId="10" xfId="0" applyNumberFormat="1" applyFont="1" applyFill="1" applyBorder="1" applyAlignment="1" applyProtection="1">
      <alignment horizontal="center" vertical="center"/>
      <protection hidden="1"/>
    </xf>
    <xf numFmtId="16" fontId="21" fillId="0" borderId="13" xfId="0" applyNumberFormat="1" applyFont="1" applyFill="1" applyBorder="1" applyAlignment="1" applyProtection="1">
      <alignment horizontal="center" vertical="center"/>
      <protection hidden="1"/>
    </xf>
    <xf numFmtId="0" fontId="24" fillId="0" borderId="0" xfId="0" applyFont="1" applyBorder="1" applyAlignment="1" applyProtection="1">
      <alignment horizontal="center" vertical="center"/>
      <protection locked="0"/>
    </xf>
    <xf numFmtId="0" fontId="15" fillId="0" borderId="94" xfId="0" applyFont="1" applyBorder="1" applyAlignment="1" applyProtection="1">
      <alignment horizontal="center" textRotation="90"/>
      <protection hidden="1"/>
    </xf>
    <xf numFmtId="0" fontId="15" fillId="0" borderId="116" xfId="0" applyFont="1" applyBorder="1" applyAlignment="1" applyProtection="1">
      <alignment horizontal="center" textRotation="90"/>
      <protection hidden="1"/>
    </xf>
    <xf numFmtId="0" fontId="15" fillId="0" borderId="92" xfId="0" applyFont="1" applyBorder="1" applyAlignment="1" applyProtection="1">
      <alignment horizontal="center" textRotation="90"/>
      <protection hidden="1"/>
    </xf>
    <xf numFmtId="0" fontId="15" fillId="0" borderId="171" xfId="0" applyFont="1" applyBorder="1" applyAlignment="1" applyProtection="1">
      <alignment horizontal="center" textRotation="90"/>
      <protection hidden="1"/>
    </xf>
    <xf numFmtId="0" fontId="15" fillId="0" borderId="86" xfId="0" applyFont="1" applyBorder="1" applyAlignment="1" applyProtection="1">
      <alignment horizontal="center" textRotation="90"/>
      <protection hidden="1"/>
    </xf>
    <xf numFmtId="0" fontId="15" fillId="0" borderId="83" xfId="0" applyFont="1" applyBorder="1" applyAlignment="1" applyProtection="1">
      <alignment horizontal="center" textRotation="90"/>
      <protection hidden="1"/>
    </xf>
    <xf numFmtId="0" fontId="24" fillId="0" borderId="41" xfId="0" applyFont="1" applyBorder="1" applyAlignment="1" applyProtection="1">
      <alignment horizontal="center" vertical="center"/>
      <protection locked="0"/>
    </xf>
    <xf numFmtId="0" fontId="24" fillId="0" borderId="0" xfId="0" applyFont="1" applyBorder="1" applyAlignment="1" applyProtection="1">
      <alignment horizontal="center" vertical="center"/>
      <protection hidden="1"/>
    </xf>
    <xf numFmtId="0" fontId="24" fillId="0" borderId="41" xfId="0" applyFont="1" applyBorder="1" applyAlignment="1" applyProtection="1">
      <alignment horizontal="center" vertical="center"/>
      <protection hidden="1"/>
    </xf>
  </cellXfs>
  <cellStyles count="16">
    <cellStyle name="Currency" xfId="1" builtinId="4"/>
    <cellStyle name="Excel Built-in Normal" xfId="15"/>
    <cellStyle name="Hyperlink" xfId="2" builtinId="8"/>
    <cellStyle name="Normal" xfId="0" builtinId="0"/>
    <cellStyle name="Normal 2" xfId="3"/>
    <cellStyle name="Normal 2 2" xfId="4"/>
    <cellStyle name="Normal 2 3" xfId="5"/>
    <cellStyle name="Normal 2 3 2" xfId="13"/>
    <cellStyle name="Normal 3" xfId="6"/>
    <cellStyle name="Normal 4" xfId="7"/>
    <cellStyle name="Normal 4 2" xfId="12"/>
    <cellStyle name="Normal 5" xfId="8"/>
    <cellStyle name="Normal 5 2" xfId="14"/>
    <cellStyle name="Normal_GP" xfId="11"/>
    <cellStyle name="Normal_Riders" xfId="9"/>
    <cellStyle name="Normal_Series" xfId="10"/>
  </cellStyles>
  <dxfs count="96">
    <dxf>
      <font>
        <b/>
        <i val="0"/>
        <color rgb="FFFF0000"/>
      </font>
    </dxf>
    <dxf>
      <font>
        <b/>
        <i val="0"/>
        <color rgb="FFFFFFFF"/>
      </font>
      <fill>
        <patternFill>
          <bgColor rgb="FFFF0000"/>
        </patternFill>
      </fill>
    </dxf>
    <dxf>
      <font>
        <b/>
        <i val="0"/>
      </font>
      <fill>
        <patternFill>
          <bgColor rgb="FFFFFFFF"/>
        </patternFill>
      </fill>
    </dxf>
    <dxf>
      <font>
        <b/>
        <i val="0"/>
        <color rgb="FFFFFFFF"/>
      </font>
      <fill>
        <patternFill>
          <bgColor rgb="FF0000FF"/>
        </patternFill>
      </fill>
    </dxf>
    <dxf>
      <font>
        <b/>
        <i val="0"/>
      </font>
      <fill>
        <patternFill>
          <bgColor rgb="FFFFFF00"/>
        </patternFill>
      </fill>
    </dxf>
    <dxf>
      <font>
        <b/>
        <i val="0"/>
        <condense val="0"/>
        <extend val="0"/>
        <color indexed="10"/>
      </font>
    </dxf>
    <dxf>
      <font>
        <b/>
        <i val="0"/>
        <condense val="0"/>
        <extend val="0"/>
        <color indexed="12"/>
      </font>
    </dxf>
    <dxf>
      <font>
        <b/>
        <i val="0"/>
        <condense val="0"/>
        <extend val="0"/>
        <color auto="1"/>
      </font>
    </dxf>
    <dxf>
      <font>
        <b/>
        <i val="0"/>
        <color rgb="FFFFFFFF"/>
      </font>
      <fill>
        <patternFill>
          <bgColor rgb="FFFF0000"/>
        </patternFill>
      </fill>
    </dxf>
    <dxf>
      <font>
        <b/>
        <i val="0"/>
        <color rgb="FFFFFFFF"/>
      </font>
      <fill>
        <patternFill>
          <bgColor rgb="FF0000FF"/>
        </patternFill>
      </fill>
    </dxf>
    <dxf>
      <font>
        <b/>
        <i val="0"/>
      </font>
      <fill>
        <patternFill>
          <bgColor rgb="FFFFFFFF"/>
        </patternFill>
      </fill>
    </dxf>
    <dxf>
      <font>
        <b/>
        <i val="0"/>
      </font>
      <fill>
        <patternFill>
          <bgColor rgb="FFFFFF00"/>
        </patternFill>
      </fill>
    </dxf>
    <dxf>
      <font>
        <b/>
        <i val="0"/>
        <color rgb="FFFFFFFF"/>
      </font>
      <fill>
        <patternFill>
          <bgColor rgb="FFFF0000"/>
        </patternFill>
      </fill>
    </dxf>
    <dxf>
      <font>
        <b/>
        <i val="0"/>
        <color rgb="FFFFFFFF"/>
      </font>
      <fill>
        <patternFill>
          <bgColor rgb="FF0000FF"/>
        </patternFill>
      </fill>
    </dxf>
    <dxf>
      <font>
        <b/>
        <i val="0"/>
      </font>
      <fill>
        <patternFill>
          <bgColor rgb="FFFFFFFF"/>
        </patternFill>
      </fill>
    </dxf>
    <dxf>
      <font>
        <b/>
        <i val="0"/>
      </font>
      <fill>
        <patternFill>
          <bgColor rgb="FFFFFF00"/>
        </patternFill>
      </fill>
    </dxf>
    <dxf>
      <font>
        <b/>
        <i val="0"/>
        <color rgb="FFFFFFFF"/>
      </font>
      <fill>
        <patternFill>
          <bgColor rgb="FFFF0000"/>
        </patternFill>
      </fill>
    </dxf>
    <dxf>
      <font>
        <b/>
        <i val="0"/>
        <color rgb="FFFFFFFF"/>
      </font>
      <fill>
        <patternFill>
          <bgColor rgb="FF0000FF"/>
        </patternFill>
      </fill>
    </dxf>
    <dxf>
      <font>
        <b/>
        <i val="0"/>
      </font>
      <fill>
        <patternFill>
          <bgColor rgb="FFFFFFFF"/>
        </patternFill>
      </fill>
    </dxf>
    <dxf>
      <font>
        <b/>
        <i val="0"/>
      </font>
      <fill>
        <patternFill>
          <bgColor rgb="FFFFFF00"/>
        </patternFill>
      </fill>
    </dxf>
    <dxf>
      <font>
        <b/>
        <i val="0"/>
        <color rgb="FFFFFFFF"/>
      </font>
      <fill>
        <patternFill>
          <bgColor rgb="FFFF0000"/>
        </patternFill>
      </fill>
    </dxf>
    <dxf>
      <font>
        <b/>
        <i val="0"/>
        <color rgb="FFFFFFFF"/>
      </font>
      <fill>
        <patternFill>
          <bgColor rgb="FF0000FF"/>
        </patternFill>
      </fill>
    </dxf>
    <dxf>
      <font>
        <b/>
        <i val="0"/>
      </font>
      <fill>
        <patternFill>
          <bgColor rgb="FFFFFFFF"/>
        </patternFill>
      </fill>
    </dxf>
    <dxf>
      <font>
        <b/>
        <i val="0"/>
      </font>
      <fill>
        <patternFill>
          <bgColor rgb="FFFFFF00"/>
        </patternFill>
      </fill>
    </dxf>
    <dxf>
      <font>
        <b/>
        <i val="0"/>
        <color rgb="FFFFFFFF"/>
      </font>
      <fill>
        <patternFill>
          <bgColor rgb="FFFF0000"/>
        </patternFill>
      </fill>
    </dxf>
    <dxf>
      <font>
        <b/>
        <i val="0"/>
        <color rgb="FFFFFFFF"/>
      </font>
      <fill>
        <patternFill>
          <bgColor rgb="FF0000FF"/>
        </patternFill>
      </fill>
    </dxf>
    <dxf>
      <font>
        <b/>
        <i val="0"/>
      </font>
      <fill>
        <patternFill>
          <bgColor rgb="FFFFFFFF"/>
        </patternFill>
      </fill>
    </dxf>
    <dxf>
      <font>
        <b/>
        <i val="0"/>
      </font>
      <fill>
        <patternFill>
          <bgColor rgb="FFFFFF00"/>
        </patternFill>
      </fill>
    </dxf>
    <dxf>
      <font>
        <b/>
        <i val="0"/>
        <color rgb="FFFFFFFF"/>
      </font>
      <fill>
        <patternFill>
          <bgColor rgb="FFFF0000"/>
        </patternFill>
      </fill>
    </dxf>
    <dxf>
      <font>
        <b/>
        <i val="0"/>
      </font>
      <fill>
        <patternFill>
          <bgColor rgb="FFFFFFFF"/>
        </patternFill>
      </fill>
    </dxf>
    <dxf>
      <font>
        <b/>
        <i val="0"/>
        <color rgb="FFFFFFFF"/>
      </font>
      <fill>
        <patternFill>
          <bgColor rgb="FF0000FF"/>
        </patternFill>
      </fill>
    </dxf>
    <dxf>
      <font>
        <b/>
        <i val="0"/>
      </font>
      <fill>
        <patternFill>
          <bgColor rgb="FFFFFF00"/>
        </patternFill>
      </fill>
    </dxf>
    <dxf>
      <font>
        <b/>
        <i val="0"/>
        <color rgb="FFFFFFFF"/>
      </font>
      <fill>
        <patternFill>
          <bgColor rgb="FFFF0000"/>
        </patternFill>
      </fill>
    </dxf>
    <dxf>
      <font>
        <b/>
        <i val="0"/>
      </font>
      <fill>
        <patternFill>
          <bgColor rgb="FFFFFFFF"/>
        </patternFill>
      </fill>
    </dxf>
    <dxf>
      <font>
        <b/>
        <i val="0"/>
        <color rgb="FFFFFFFF"/>
      </font>
      <fill>
        <patternFill>
          <bgColor rgb="FF0000FF"/>
        </patternFill>
      </fill>
    </dxf>
    <dxf>
      <font>
        <b/>
        <i val="0"/>
      </font>
      <fill>
        <patternFill>
          <bgColor rgb="FFFFFF00"/>
        </patternFill>
      </fill>
    </dxf>
    <dxf>
      <font>
        <b/>
        <i val="0"/>
        <color rgb="FFFF0000"/>
      </font>
    </dxf>
    <dxf>
      <font>
        <condense val="0"/>
        <extend val="0"/>
        <color indexed="10"/>
      </font>
    </dxf>
    <dxf>
      <font>
        <b/>
        <i val="0"/>
        <condense val="0"/>
        <extend val="0"/>
        <color indexed="10"/>
      </font>
    </dxf>
    <dxf>
      <font>
        <b val="0"/>
        <i val="0"/>
        <condense val="0"/>
        <extend val="0"/>
        <color indexed="56"/>
      </font>
    </dxf>
    <dxf>
      <font>
        <b/>
        <i val="0"/>
        <condense val="0"/>
        <extend val="0"/>
        <color indexed="10"/>
      </font>
    </dxf>
    <dxf>
      <font>
        <b/>
        <i val="0"/>
        <condense val="0"/>
        <extend val="0"/>
        <color indexed="10"/>
      </font>
    </dxf>
    <dxf>
      <font>
        <b/>
        <i val="0"/>
        <condense val="0"/>
        <extend val="0"/>
        <color indexed="12"/>
      </font>
    </dxf>
    <dxf>
      <font>
        <b/>
        <i val="0"/>
        <condense val="0"/>
        <extend val="0"/>
        <color auto="1"/>
      </font>
    </dxf>
    <dxf>
      <font>
        <condense val="0"/>
        <extend val="0"/>
        <color indexed="9"/>
      </font>
    </dxf>
    <dxf>
      <font>
        <condense val="0"/>
        <extend val="0"/>
        <color indexed="9"/>
      </font>
    </dxf>
    <dxf>
      <font>
        <condense val="0"/>
        <extend val="0"/>
        <color indexed="9"/>
      </font>
    </dxf>
    <dxf>
      <font>
        <b/>
        <i val="0"/>
        <strike val="0"/>
        <condense val="0"/>
        <extend val="0"/>
        <color indexed="10"/>
      </font>
    </dxf>
    <dxf>
      <font>
        <b/>
        <i val="0"/>
        <strike val="0"/>
        <condense val="0"/>
        <extend val="0"/>
        <color indexed="10"/>
      </font>
    </dxf>
    <dxf>
      <font>
        <b/>
        <i val="0"/>
        <condense val="0"/>
        <extend val="0"/>
        <color indexed="10"/>
      </font>
    </dxf>
    <dxf>
      <font>
        <b/>
        <i val="0"/>
        <color rgb="FFFFFFFF"/>
      </font>
      <fill>
        <patternFill>
          <bgColor rgb="FFFF0000"/>
        </patternFill>
      </fill>
    </dxf>
    <dxf>
      <font>
        <b/>
        <i val="0"/>
      </font>
      <fill>
        <patternFill>
          <bgColor rgb="FFFFFFFF"/>
        </patternFill>
      </fill>
    </dxf>
    <dxf>
      <font>
        <b/>
        <i val="0"/>
        <color rgb="FFFFFFFF"/>
      </font>
      <fill>
        <patternFill>
          <bgColor rgb="FF0000FF"/>
        </patternFill>
      </fill>
    </dxf>
    <dxf>
      <font>
        <b/>
        <i val="0"/>
      </font>
      <fill>
        <patternFill>
          <bgColor rgb="FFFFFF00"/>
        </patternFill>
      </fill>
    </dxf>
    <dxf>
      <font>
        <b/>
        <i val="0"/>
        <condense val="0"/>
        <extend val="0"/>
        <color indexed="10"/>
      </font>
    </dxf>
    <dxf>
      <font>
        <b/>
        <i val="0"/>
        <condense val="0"/>
        <extend val="0"/>
        <color indexed="12"/>
      </font>
    </dxf>
    <dxf>
      <font>
        <b/>
        <i val="0"/>
        <condense val="0"/>
        <extend val="0"/>
        <color auto="1"/>
      </font>
    </dxf>
    <dxf>
      <font>
        <b/>
        <i val="0"/>
        <color rgb="FFFFFFFF"/>
      </font>
      <fill>
        <patternFill>
          <bgColor rgb="FFFF0000"/>
        </patternFill>
      </fill>
    </dxf>
    <dxf>
      <font>
        <b/>
        <i val="0"/>
        <color rgb="FFFFFFFF"/>
      </font>
      <fill>
        <patternFill>
          <bgColor rgb="FF0000FF"/>
        </patternFill>
      </fill>
    </dxf>
    <dxf>
      <font>
        <b/>
        <i val="0"/>
      </font>
      <fill>
        <patternFill>
          <bgColor rgb="FFFFFFFF"/>
        </patternFill>
      </fill>
    </dxf>
    <dxf>
      <font>
        <b/>
        <i val="0"/>
      </font>
      <fill>
        <patternFill>
          <bgColor rgb="FFFFFF00"/>
        </patternFill>
      </fill>
    </dxf>
    <dxf>
      <font>
        <b/>
        <i val="0"/>
        <color rgb="FFFFFFFF"/>
      </font>
      <fill>
        <patternFill>
          <bgColor rgb="FFFF0000"/>
        </patternFill>
      </fill>
    </dxf>
    <dxf>
      <font>
        <b/>
        <i val="0"/>
        <color rgb="FFFFFFFF"/>
      </font>
      <fill>
        <patternFill>
          <bgColor rgb="FF0000FF"/>
        </patternFill>
      </fill>
    </dxf>
    <dxf>
      <font>
        <b/>
        <i val="0"/>
      </font>
      <fill>
        <patternFill>
          <bgColor rgb="FFFFFFFF"/>
        </patternFill>
      </fill>
    </dxf>
    <dxf>
      <font>
        <b/>
        <i val="0"/>
      </font>
      <fill>
        <patternFill>
          <bgColor rgb="FFFFFF00"/>
        </patternFill>
      </fill>
    </dxf>
    <dxf>
      <font>
        <b/>
        <i val="0"/>
        <color rgb="FFFFFFFF"/>
      </font>
      <fill>
        <patternFill>
          <bgColor rgb="FFFF0000"/>
        </patternFill>
      </fill>
    </dxf>
    <dxf>
      <font>
        <b/>
        <i val="0"/>
        <color rgb="FFFFFFFF"/>
      </font>
      <fill>
        <patternFill>
          <bgColor rgb="FF0000FF"/>
        </patternFill>
      </fill>
    </dxf>
    <dxf>
      <font>
        <b/>
        <i val="0"/>
      </font>
      <fill>
        <patternFill>
          <bgColor rgb="FFFFFFFF"/>
        </patternFill>
      </fill>
    </dxf>
    <dxf>
      <font>
        <b/>
        <i val="0"/>
      </font>
      <fill>
        <patternFill>
          <bgColor rgb="FFFFFF00"/>
        </patternFill>
      </fill>
    </dxf>
    <dxf>
      <font>
        <b/>
        <i val="0"/>
        <color rgb="FFFFFFFF"/>
      </font>
      <fill>
        <patternFill>
          <bgColor rgb="FFFF0000"/>
        </patternFill>
      </fill>
    </dxf>
    <dxf>
      <font>
        <b/>
        <i val="0"/>
        <color rgb="FFFFFFFF"/>
      </font>
      <fill>
        <patternFill>
          <bgColor rgb="FF0000FF"/>
        </patternFill>
      </fill>
    </dxf>
    <dxf>
      <font>
        <b/>
        <i val="0"/>
      </font>
      <fill>
        <patternFill>
          <bgColor rgb="FFFFFFFF"/>
        </patternFill>
      </fill>
    </dxf>
    <dxf>
      <font>
        <b/>
        <i val="0"/>
      </font>
      <fill>
        <patternFill>
          <bgColor rgb="FFFFFF00"/>
        </patternFill>
      </fill>
    </dxf>
    <dxf>
      <font>
        <b/>
        <i val="0"/>
        <color rgb="FFFFFFFF"/>
      </font>
      <fill>
        <patternFill>
          <bgColor rgb="FFFF0000"/>
        </patternFill>
      </fill>
    </dxf>
    <dxf>
      <font>
        <b/>
        <i val="0"/>
        <color rgb="FFFFFFFF"/>
      </font>
      <fill>
        <patternFill>
          <bgColor rgb="FF0000FF"/>
        </patternFill>
      </fill>
    </dxf>
    <dxf>
      <font>
        <b/>
        <i val="0"/>
      </font>
      <fill>
        <patternFill>
          <bgColor rgb="FFFFFFFF"/>
        </patternFill>
      </fill>
    </dxf>
    <dxf>
      <font>
        <b/>
        <i val="0"/>
      </font>
      <fill>
        <patternFill>
          <bgColor rgb="FFFFFF00"/>
        </patternFill>
      </fill>
    </dxf>
    <dxf>
      <font>
        <b/>
        <i val="0"/>
        <color rgb="FFFFFFFF"/>
      </font>
      <fill>
        <patternFill>
          <bgColor rgb="FFFF0000"/>
        </patternFill>
      </fill>
    </dxf>
    <dxf>
      <font>
        <b/>
        <i val="0"/>
      </font>
      <fill>
        <patternFill>
          <bgColor rgb="FFFFFFFF"/>
        </patternFill>
      </fill>
    </dxf>
    <dxf>
      <font>
        <b/>
        <i val="0"/>
        <color rgb="FFFFFFFF"/>
      </font>
      <fill>
        <patternFill>
          <bgColor rgb="FF0000FF"/>
        </patternFill>
      </fill>
    </dxf>
    <dxf>
      <font>
        <b/>
        <i val="0"/>
      </font>
      <fill>
        <patternFill>
          <bgColor rgb="FFFFFF00"/>
        </patternFill>
      </fill>
    </dxf>
    <dxf>
      <font>
        <b/>
        <i val="0"/>
        <color rgb="FFFFFFFF"/>
      </font>
      <fill>
        <patternFill>
          <bgColor rgb="FFFF0000"/>
        </patternFill>
      </fill>
    </dxf>
    <dxf>
      <font>
        <b/>
        <i val="0"/>
      </font>
      <fill>
        <patternFill>
          <bgColor rgb="FFFFFFFF"/>
        </patternFill>
      </fill>
    </dxf>
    <dxf>
      <font>
        <b/>
        <i val="0"/>
        <color rgb="FFFFFFFF"/>
      </font>
      <fill>
        <patternFill>
          <bgColor rgb="FF0000FF"/>
        </patternFill>
      </fill>
    </dxf>
    <dxf>
      <font>
        <b/>
        <i val="0"/>
      </font>
      <fill>
        <patternFill>
          <bgColor rgb="FFFFFF00"/>
        </patternFill>
      </fill>
    </dxf>
    <dxf>
      <font>
        <b/>
        <i val="0"/>
        <color rgb="FFFF0000"/>
      </font>
    </dxf>
    <dxf>
      <font>
        <condense val="0"/>
        <extend val="0"/>
        <color indexed="10"/>
      </font>
    </dxf>
    <dxf>
      <font>
        <b/>
        <i val="0"/>
        <condense val="0"/>
        <extend val="0"/>
        <color indexed="10"/>
      </font>
    </dxf>
    <dxf>
      <font>
        <b val="0"/>
        <i val="0"/>
        <condense val="0"/>
        <extend val="0"/>
        <color indexed="56"/>
      </font>
    </dxf>
    <dxf>
      <font>
        <b/>
        <i val="0"/>
        <condense val="0"/>
        <extend val="0"/>
        <color indexed="10"/>
      </font>
    </dxf>
    <dxf>
      <font>
        <b/>
        <i val="0"/>
        <condense val="0"/>
        <extend val="0"/>
        <color indexed="10"/>
      </font>
    </dxf>
    <dxf>
      <font>
        <b/>
        <i val="0"/>
        <condense val="0"/>
        <extend val="0"/>
        <color indexed="12"/>
      </font>
    </dxf>
    <dxf>
      <font>
        <b/>
        <i val="0"/>
        <condense val="0"/>
        <extend val="0"/>
        <color auto="1"/>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66FF66"/>
      <color rgb="FFFFFF00"/>
      <color rgb="FFFFFFFF"/>
      <color rgb="FF0000FF"/>
      <color rgb="FFFFFF66"/>
      <color rgb="FFC0C0C0"/>
      <color rgb="FF00FF00"/>
      <color rgb="FFFFFF99"/>
      <color rgb="FFFF99FF"/>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4.jpeg"/><Relationship Id="rId2" Type="http://schemas.openxmlformats.org/officeDocument/2006/relationships/image" Target="../media/image3.jpeg"/><Relationship Id="rId1" Type="http://schemas.openxmlformats.org/officeDocument/2006/relationships/image" Target="../media/image2.jpeg"/><Relationship Id="rId4" Type="http://schemas.openxmlformats.org/officeDocument/2006/relationships/image" Target="../media/image5.jpeg"/></Relationships>
</file>

<file path=xl/drawings/_rels/drawing2.xml.rels><?xml version="1.0" encoding="UTF-8" standalone="yes"?>
<Relationships xmlns="http://schemas.openxmlformats.org/package/2006/relationships"><Relationship Id="rId2" Type="http://schemas.openxmlformats.org/officeDocument/2006/relationships/image" Target="../media/image7.jpg"/><Relationship Id="rId1" Type="http://schemas.openxmlformats.org/officeDocument/2006/relationships/image" Target="../media/image6.pn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g"/><Relationship Id="rId1" Type="http://schemas.openxmlformats.org/officeDocument/2006/relationships/image" Target="../media/image6.png"/></Relationships>
</file>

<file path=xl/drawings/_rels/drawing4.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2.jpeg"/></Relationships>
</file>

<file path=xl/drawings/_rels/drawing7.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g"/><Relationship Id="rId1" Type="http://schemas.openxmlformats.org/officeDocument/2006/relationships/image" Target="../media/image6.png"/></Relationships>
</file>

<file path=xl/drawings/_rels/drawing8.xml.rels><?xml version="1.0" encoding="UTF-8" standalone="yes"?>
<Relationships xmlns="http://schemas.openxmlformats.org/package/2006/relationships"><Relationship Id="rId2" Type="http://schemas.openxmlformats.org/officeDocument/2006/relationships/image" Target="../media/image9.jpeg"/><Relationship Id="rId1" Type="http://schemas.openxmlformats.org/officeDocument/2006/relationships/image" Target="../media/image8.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0.jpeg"/></Relationships>
</file>

<file path=xl/drawings/_rels/vmlDrawing2.v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3.jpeg"/></Relationships>
</file>

<file path=xl/drawings/_rels/vmlDrawing3.vml.rels><?xml version="1.0" encoding="UTF-8" standalone="yes"?>
<Relationships xmlns="http://schemas.openxmlformats.org/package/2006/relationships"><Relationship Id="rId2" Type="http://schemas.openxmlformats.org/officeDocument/2006/relationships/image" Target="../media/image11.jpeg"/><Relationship Id="rId1" Type="http://schemas.openxmlformats.org/officeDocument/2006/relationships/image" Target="../media/image13.jpeg"/></Relationships>
</file>

<file path=xl/drawings/drawing1.xml><?xml version="1.0" encoding="utf-8"?>
<xdr:wsDr xmlns:xdr="http://schemas.openxmlformats.org/drawingml/2006/spreadsheetDrawing" xmlns:a="http://schemas.openxmlformats.org/drawingml/2006/main">
  <xdr:twoCellAnchor editAs="oneCell">
    <xdr:from>
      <xdr:col>0</xdr:col>
      <xdr:colOff>236220</xdr:colOff>
      <xdr:row>53</xdr:row>
      <xdr:rowOff>22860</xdr:rowOff>
    </xdr:from>
    <xdr:to>
      <xdr:col>15</xdr:col>
      <xdr:colOff>91440</xdr:colOff>
      <xdr:row>57</xdr:row>
      <xdr:rowOff>22860</xdr:rowOff>
    </xdr:to>
    <xdr:pic>
      <xdr:nvPicPr>
        <xdr:cNvPr id="11803" name="Picture 45" descr="GP_Ballott"/>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36220" y="13373100"/>
          <a:ext cx="5196840" cy="6705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12</xdr:col>
      <xdr:colOff>76200</xdr:colOff>
      <xdr:row>52</xdr:row>
      <xdr:rowOff>129540</xdr:rowOff>
    </xdr:from>
    <xdr:to>
      <xdr:col>14</xdr:col>
      <xdr:colOff>312420</xdr:colOff>
      <xdr:row>57</xdr:row>
      <xdr:rowOff>76200</xdr:rowOff>
    </xdr:to>
    <xdr:sp macro="" textlink="">
      <xdr:nvSpPr>
        <xdr:cNvPr id="11806" name="Rectangle 48"/>
        <xdr:cNvSpPr>
          <a:spLocks noChangeArrowheads="1"/>
        </xdr:cNvSpPr>
      </xdr:nvSpPr>
      <xdr:spPr bwMode="auto">
        <a:xfrm>
          <a:off x="3985260" y="13312140"/>
          <a:ext cx="1043940" cy="784860"/>
        </a:xfrm>
        <a:prstGeom prst="rect">
          <a:avLst/>
        </a:prstGeom>
        <a:noFill/>
        <a:ln w="317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373380</xdr:colOff>
      <xdr:row>52</xdr:row>
      <xdr:rowOff>129540</xdr:rowOff>
    </xdr:from>
    <xdr:to>
      <xdr:col>15</xdr:col>
      <xdr:colOff>137160</xdr:colOff>
      <xdr:row>57</xdr:row>
      <xdr:rowOff>38100</xdr:rowOff>
    </xdr:to>
    <xdr:sp macro="" textlink="">
      <xdr:nvSpPr>
        <xdr:cNvPr id="11807" name="Rectangle 49"/>
        <xdr:cNvSpPr>
          <a:spLocks noChangeArrowheads="1"/>
        </xdr:cNvSpPr>
      </xdr:nvSpPr>
      <xdr:spPr bwMode="auto">
        <a:xfrm>
          <a:off x="5090160" y="13312140"/>
          <a:ext cx="388620" cy="746760"/>
        </a:xfrm>
        <a:prstGeom prst="rect">
          <a:avLst/>
        </a:prstGeom>
        <a:noFill/>
        <a:ln w="31750">
          <a:solidFill>
            <a:srgbClr val="0000FF"/>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xdr:col>
      <xdr:colOff>121920</xdr:colOff>
      <xdr:row>50</xdr:row>
      <xdr:rowOff>106680</xdr:rowOff>
    </xdr:from>
    <xdr:to>
      <xdr:col>12</xdr:col>
      <xdr:colOff>83820</xdr:colOff>
      <xdr:row>52</xdr:row>
      <xdr:rowOff>106680</xdr:rowOff>
    </xdr:to>
    <xdr:sp macro="" textlink="">
      <xdr:nvSpPr>
        <xdr:cNvPr id="11808" name="Line 50"/>
        <xdr:cNvSpPr>
          <a:spLocks noChangeShapeType="1"/>
        </xdr:cNvSpPr>
      </xdr:nvSpPr>
      <xdr:spPr bwMode="auto">
        <a:xfrm>
          <a:off x="2788920" y="12954000"/>
          <a:ext cx="1203960" cy="335280"/>
        </a:xfrm>
        <a:prstGeom prst="line">
          <a:avLst/>
        </a:prstGeom>
        <a:noFill/>
        <a:ln w="3175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14</xdr:col>
      <xdr:colOff>335280</xdr:colOff>
      <xdr:row>57</xdr:row>
      <xdr:rowOff>30480</xdr:rowOff>
    </xdr:from>
    <xdr:to>
      <xdr:col>14</xdr:col>
      <xdr:colOff>579120</xdr:colOff>
      <xdr:row>59</xdr:row>
      <xdr:rowOff>22860</xdr:rowOff>
    </xdr:to>
    <xdr:sp macro="" textlink="">
      <xdr:nvSpPr>
        <xdr:cNvPr id="11809" name="Line 51"/>
        <xdr:cNvSpPr>
          <a:spLocks noChangeShapeType="1"/>
        </xdr:cNvSpPr>
      </xdr:nvSpPr>
      <xdr:spPr bwMode="auto">
        <a:xfrm flipV="1">
          <a:off x="5052060" y="14051280"/>
          <a:ext cx="243840" cy="327660"/>
        </a:xfrm>
        <a:prstGeom prst="line">
          <a:avLst/>
        </a:prstGeom>
        <a:noFill/>
        <a:ln w="31750">
          <a:solidFill>
            <a:srgbClr val="0000FF"/>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2</xdr:col>
      <xdr:colOff>289560</xdr:colOff>
      <xdr:row>52</xdr:row>
      <xdr:rowOff>121920</xdr:rowOff>
    </xdr:from>
    <xdr:to>
      <xdr:col>4</xdr:col>
      <xdr:colOff>190500</xdr:colOff>
      <xdr:row>57</xdr:row>
      <xdr:rowOff>129540</xdr:rowOff>
    </xdr:to>
    <xdr:sp macro="" textlink="">
      <xdr:nvSpPr>
        <xdr:cNvPr id="11810" name="Rectangle 52"/>
        <xdr:cNvSpPr>
          <a:spLocks noChangeArrowheads="1"/>
        </xdr:cNvSpPr>
      </xdr:nvSpPr>
      <xdr:spPr bwMode="auto">
        <a:xfrm>
          <a:off x="815340" y="13304520"/>
          <a:ext cx="1150620" cy="845820"/>
        </a:xfrm>
        <a:prstGeom prst="rect">
          <a:avLst/>
        </a:prstGeom>
        <a:noFill/>
        <a:ln w="31750">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3</xdr:col>
      <xdr:colOff>22860</xdr:colOff>
      <xdr:row>57</xdr:row>
      <xdr:rowOff>137160</xdr:rowOff>
    </xdr:from>
    <xdr:to>
      <xdr:col>3</xdr:col>
      <xdr:colOff>22860</xdr:colOff>
      <xdr:row>59</xdr:row>
      <xdr:rowOff>91440</xdr:rowOff>
    </xdr:to>
    <xdr:sp macro="" textlink="">
      <xdr:nvSpPr>
        <xdr:cNvPr id="11811" name="Line 53"/>
        <xdr:cNvSpPr>
          <a:spLocks noChangeShapeType="1"/>
        </xdr:cNvSpPr>
      </xdr:nvSpPr>
      <xdr:spPr bwMode="auto">
        <a:xfrm flipV="1">
          <a:off x="1173480" y="14157960"/>
          <a:ext cx="0" cy="289560"/>
        </a:xfrm>
        <a:prstGeom prst="line">
          <a:avLst/>
        </a:prstGeom>
        <a:noFill/>
        <a:ln w="31750">
          <a:solidFill>
            <a:srgbClr val="00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1</xdr:col>
      <xdr:colOff>0</xdr:colOff>
      <xdr:row>39</xdr:row>
      <xdr:rowOff>0</xdr:rowOff>
    </xdr:from>
    <xdr:to>
      <xdr:col>13</xdr:col>
      <xdr:colOff>480060</xdr:colOff>
      <xdr:row>43</xdr:row>
      <xdr:rowOff>137160</xdr:rowOff>
    </xdr:to>
    <xdr:pic>
      <xdr:nvPicPr>
        <xdr:cNvPr id="11812" name="Picture 54" descr="GP_Heat"/>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88620" y="10995660"/>
          <a:ext cx="4183380" cy="8077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9</xdr:col>
      <xdr:colOff>22860</xdr:colOff>
      <xdr:row>41</xdr:row>
      <xdr:rowOff>76200</xdr:rowOff>
    </xdr:from>
    <xdr:to>
      <xdr:col>10</xdr:col>
      <xdr:colOff>114300</xdr:colOff>
      <xdr:row>44</xdr:row>
      <xdr:rowOff>22860</xdr:rowOff>
    </xdr:to>
    <xdr:sp macro="" textlink="">
      <xdr:nvSpPr>
        <xdr:cNvPr id="11813" name="Line 55"/>
        <xdr:cNvSpPr>
          <a:spLocks noChangeShapeType="1"/>
        </xdr:cNvSpPr>
      </xdr:nvSpPr>
      <xdr:spPr bwMode="auto">
        <a:xfrm flipV="1">
          <a:off x="3360420" y="11407140"/>
          <a:ext cx="274320" cy="449580"/>
        </a:xfrm>
        <a:prstGeom prst="line">
          <a:avLst/>
        </a:prstGeom>
        <a:noFill/>
        <a:ln w="2540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editAs="oneCell">
    <xdr:from>
      <xdr:col>2</xdr:col>
      <xdr:colOff>68580</xdr:colOff>
      <xdr:row>90</xdr:row>
      <xdr:rowOff>68580</xdr:rowOff>
    </xdr:from>
    <xdr:to>
      <xdr:col>5</xdr:col>
      <xdr:colOff>243840</xdr:colOff>
      <xdr:row>112</xdr:row>
      <xdr:rowOff>144780</xdr:rowOff>
    </xdr:to>
    <xdr:pic>
      <xdr:nvPicPr>
        <xdr:cNvPr id="11814" name="Picture 60" descr="GP_Copy"/>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94360" y="19674840"/>
          <a:ext cx="1691640" cy="3764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213360</xdr:colOff>
      <xdr:row>95</xdr:row>
      <xdr:rowOff>99060</xdr:rowOff>
    </xdr:from>
    <xdr:to>
      <xdr:col>5</xdr:col>
      <xdr:colOff>213360</xdr:colOff>
      <xdr:row>112</xdr:row>
      <xdr:rowOff>129540</xdr:rowOff>
    </xdr:to>
    <xdr:sp macro="" textlink="">
      <xdr:nvSpPr>
        <xdr:cNvPr id="11815" name="Rectangle 61"/>
        <xdr:cNvSpPr>
          <a:spLocks noChangeArrowheads="1"/>
        </xdr:cNvSpPr>
      </xdr:nvSpPr>
      <xdr:spPr bwMode="auto">
        <a:xfrm>
          <a:off x="739140" y="20543520"/>
          <a:ext cx="1516380" cy="2880360"/>
        </a:xfrm>
        <a:prstGeom prst="rect">
          <a:avLst/>
        </a:prstGeom>
        <a:noFill/>
        <a:ln w="317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220980</xdr:colOff>
      <xdr:row>92</xdr:row>
      <xdr:rowOff>0</xdr:rowOff>
    </xdr:from>
    <xdr:to>
      <xdr:col>6</xdr:col>
      <xdr:colOff>60960</xdr:colOff>
      <xdr:row>95</xdr:row>
      <xdr:rowOff>91440</xdr:rowOff>
    </xdr:to>
    <xdr:sp macro="" textlink="">
      <xdr:nvSpPr>
        <xdr:cNvPr id="11816" name="Line 62"/>
        <xdr:cNvSpPr>
          <a:spLocks noChangeShapeType="1"/>
        </xdr:cNvSpPr>
      </xdr:nvSpPr>
      <xdr:spPr bwMode="auto">
        <a:xfrm flipH="1">
          <a:off x="2263140" y="19941540"/>
          <a:ext cx="464820" cy="594360"/>
        </a:xfrm>
        <a:prstGeom prst="line">
          <a:avLst/>
        </a:prstGeom>
        <a:noFill/>
        <a:ln w="31750">
          <a:solidFill>
            <a:srgbClr val="FF0000"/>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12</xdr:col>
      <xdr:colOff>106680</xdr:colOff>
      <xdr:row>38</xdr:row>
      <xdr:rowOff>144780</xdr:rowOff>
    </xdr:from>
    <xdr:to>
      <xdr:col>13</xdr:col>
      <xdr:colOff>601980</xdr:colOff>
      <xdr:row>44</xdr:row>
      <xdr:rowOff>0</xdr:rowOff>
    </xdr:to>
    <xdr:sp macro="" textlink="">
      <xdr:nvSpPr>
        <xdr:cNvPr id="11822" name="Rectangle 68"/>
        <xdr:cNvSpPr>
          <a:spLocks noChangeArrowheads="1"/>
        </xdr:cNvSpPr>
      </xdr:nvSpPr>
      <xdr:spPr bwMode="auto">
        <a:xfrm>
          <a:off x="4015740" y="10972800"/>
          <a:ext cx="678180" cy="861060"/>
        </a:xfrm>
        <a:prstGeom prst="rect">
          <a:avLst/>
        </a:prstGeom>
        <a:noFill/>
        <a:ln w="31750">
          <a:solidFill>
            <a:srgbClr val="FF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14</xdr:col>
      <xdr:colOff>510540</xdr:colOff>
      <xdr:row>0</xdr:row>
      <xdr:rowOff>236220</xdr:rowOff>
    </xdr:from>
    <xdr:to>
      <xdr:col>18</xdr:col>
      <xdr:colOff>15240</xdr:colOff>
      <xdr:row>5</xdr:row>
      <xdr:rowOff>152400</xdr:rowOff>
    </xdr:to>
    <xdr:pic>
      <xdr:nvPicPr>
        <xdr:cNvPr id="11824" name="Picture 72" descr="NewLogo"/>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227320" y="236220"/>
          <a:ext cx="2004060" cy="9753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12</xdr:col>
      <xdr:colOff>20089</xdr:colOff>
      <xdr:row>15</xdr:row>
      <xdr:rowOff>99060</xdr:rowOff>
    </xdr:from>
    <xdr:to>
      <xdr:col>14</xdr:col>
      <xdr:colOff>135284</xdr:colOff>
      <xdr:row>20</xdr:row>
      <xdr:rowOff>96982</xdr:rowOff>
    </xdr:to>
    <xdr:pic>
      <xdr:nvPicPr>
        <xdr:cNvPr id="2472" name="Picture 80" descr="NewLogo_s"/>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6656416" y="2682933"/>
          <a:ext cx="1576850" cy="80841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290946</xdr:colOff>
      <xdr:row>5</xdr:row>
      <xdr:rowOff>103910</xdr:rowOff>
    </xdr:from>
    <xdr:to>
      <xdr:col>14</xdr:col>
      <xdr:colOff>193964</xdr:colOff>
      <xdr:row>10</xdr:row>
      <xdr:rowOff>146463</xdr:rowOff>
    </xdr:to>
    <xdr:pic>
      <xdr:nvPicPr>
        <xdr:cNvPr id="2" name="Picture 1"/>
        <xdr:cNvPicPr>
          <a:picLocks noChangeAspect="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6608619" y="969819"/>
          <a:ext cx="1683327" cy="908462"/>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8</xdr:col>
      <xdr:colOff>22860</xdr:colOff>
      <xdr:row>0</xdr:row>
      <xdr:rowOff>7620</xdr:rowOff>
    </xdr:from>
    <xdr:to>
      <xdr:col>15</xdr:col>
      <xdr:colOff>121920</xdr:colOff>
      <xdr:row>5</xdr:row>
      <xdr:rowOff>137160</xdr:rowOff>
    </xdr:to>
    <xdr:pic>
      <xdr:nvPicPr>
        <xdr:cNvPr id="3286" name="Picture 80" descr="NewLogo_s"/>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2545080" y="7620"/>
          <a:ext cx="1866900" cy="9296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1074420</xdr:colOff>
      <xdr:row>5</xdr:row>
      <xdr:rowOff>83820</xdr:rowOff>
    </xdr:to>
    <xdr:pic>
      <xdr:nvPicPr>
        <xdr:cNvPr id="3287" name="Picture 7" descr="Logo_Quadri_V45ST.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1676400" cy="8839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1087577</xdr:colOff>
      <xdr:row>0</xdr:row>
      <xdr:rowOff>0</xdr:rowOff>
    </xdr:from>
    <xdr:to>
      <xdr:col>7</xdr:col>
      <xdr:colOff>186266</xdr:colOff>
      <xdr:row>8</xdr:row>
      <xdr:rowOff>84666</xdr:rowOff>
    </xdr:to>
    <xdr:pic>
      <xdr:nvPicPr>
        <xdr:cNvPr id="2" name="Picture 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688710" y="0"/>
          <a:ext cx="800489" cy="137159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957383</xdr:colOff>
      <xdr:row>0</xdr:row>
      <xdr:rowOff>0</xdr:rowOff>
    </xdr:from>
    <xdr:to>
      <xdr:col>7</xdr:col>
      <xdr:colOff>1829776</xdr:colOff>
      <xdr:row>9</xdr:row>
      <xdr:rowOff>110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68537" y="0"/>
          <a:ext cx="872393" cy="1494802"/>
        </a:xfrm>
        <a:prstGeom prst="rect">
          <a:avLst/>
        </a:prstGeom>
      </xdr:spPr>
    </xdr:pic>
    <xdr:clientData/>
  </xdr:twoCellAnchor>
  <xdr:twoCellAnchor editAs="oneCell">
    <xdr:from>
      <xdr:col>0</xdr:col>
      <xdr:colOff>0</xdr:colOff>
      <xdr:row>0</xdr:row>
      <xdr:rowOff>175847</xdr:rowOff>
    </xdr:from>
    <xdr:to>
      <xdr:col>2</xdr:col>
      <xdr:colOff>957385</xdr:colOff>
      <xdr:row>6</xdr:row>
      <xdr:rowOff>90482</xdr:rowOff>
    </xdr:to>
    <xdr:pic>
      <xdr:nvPicPr>
        <xdr:cNvPr id="3" name="Picture 2"/>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175847"/>
          <a:ext cx="1934308" cy="901327"/>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143934</xdr:colOff>
      <xdr:row>24</xdr:row>
      <xdr:rowOff>50801</xdr:rowOff>
    </xdr:from>
    <xdr:to>
      <xdr:col>12</xdr:col>
      <xdr:colOff>270933</xdr:colOff>
      <xdr:row>29</xdr:row>
      <xdr:rowOff>67733</xdr:rowOff>
    </xdr:to>
    <xdr:cxnSp macro="">
      <xdr:nvCxnSpPr>
        <xdr:cNvPr id="3" name="Straight Arrow Connector 2"/>
        <xdr:cNvCxnSpPr/>
      </xdr:nvCxnSpPr>
      <xdr:spPr bwMode="auto">
        <a:xfrm flipH="1" flipV="1">
          <a:off x="7916334" y="5630334"/>
          <a:ext cx="389466" cy="414866"/>
        </a:xfrm>
        <a:prstGeom prst="straightConnector1">
          <a:avLst/>
        </a:prstGeom>
        <a:solidFill>
          <a:srgbClr val="FFFFFF"/>
        </a:solidFill>
        <a:ln w="28575" cap="flat" cmpd="sng" algn="ctr">
          <a:solidFill>
            <a:srgbClr val="000000"/>
          </a:solidFill>
          <a:prstDash val="solid"/>
          <a:round/>
          <a:headEnd type="none" w="med" len="med"/>
          <a:tailEnd type="arrow"/>
        </a:ln>
        <a:effectLst/>
      </xdr:spPr>
    </xdr:cxnSp>
    <xdr:clientData/>
  </xdr:twoCellAnchor>
</xdr:wsDr>
</file>

<file path=xl/drawings/drawing6.xml><?xml version="1.0" encoding="utf-8"?>
<xdr:wsDr xmlns:xdr="http://schemas.openxmlformats.org/drawingml/2006/spreadsheetDrawing" xmlns:a="http://schemas.openxmlformats.org/drawingml/2006/main">
  <xdr:twoCellAnchor editAs="oneCell">
    <xdr:from>
      <xdr:col>3</xdr:col>
      <xdr:colOff>7620</xdr:colOff>
      <xdr:row>0</xdr:row>
      <xdr:rowOff>22860</xdr:rowOff>
    </xdr:from>
    <xdr:to>
      <xdr:col>4</xdr:col>
      <xdr:colOff>0</xdr:colOff>
      <xdr:row>1</xdr:row>
      <xdr:rowOff>533400</xdr:rowOff>
    </xdr:to>
    <xdr:pic>
      <xdr:nvPicPr>
        <xdr:cNvPr id="4168" name="Picture 2" descr="NewLogo_s"/>
        <xdr:cNvPicPr>
          <a:picLocks noChangeAspect="1" noChangeArrowheads="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3880" y="22860"/>
          <a:ext cx="1470660" cy="716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7</xdr:col>
      <xdr:colOff>284956</xdr:colOff>
      <xdr:row>0</xdr:row>
      <xdr:rowOff>0</xdr:rowOff>
    </xdr:from>
    <xdr:to>
      <xdr:col>14</xdr:col>
      <xdr:colOff>44683</xdr:colOff>
      <xdr:row>5</xdr:row>
      <xdr:rowOff>76200</xdr:rowOff>
    </xdr:to>
    <xdr:pic>
      <xdr:nvPicPr>
        <xdr:cNvPr id="2" name="Picture 80" descr="NewLogo_s"/>
        <xdr:cNvPicPr>
          <a:picLocks noChangeAspect="1" noChangeArrowheads="1"/>
        </xdr:cNvPicPr>
      </xdr:nvPicPr>
      <xdr:blipFill>
        <a:blip xmlns:r="http://schemas.openxmlformats.org/officeDocument/2006/relationships" r:embed="rId1" cstate="print">
          <a:clrChange>
            <a:clrFrom>
              <a:srgbClr val="FEFEFE"/>
            </a:clrFrom>
            <a:clrTo>
              <a:srgbClr val="FEFEFE">
                <a:alpha val="0"/>
              </a:srgbClr>
            </a:clrTo>
          </a:clrChange>
          <a:extLst>
            <a:ext uri="{28A0092B-C50C-407E-A947-70E740481C1C}">
              <a14:useLocalDpi xmlns:a14="http://schemas.microsoft.com/office/drawing/2010/main" val="0"/>
            </a:ext>
          </a:extLst>
        </a:blip>
        <a:srcRect/>
        <a:stretch>
          <a:fillRect/>
        </a:stretch>
      </xdr:blipFill>
      <xdr:spPr bwMode="auto">
        <a:xfrm>
          <a:off x="2494756" y="0"/>
          <a:ext cx="1783261" cy="8805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0</xdr:row>
      <xdr:rowOff>0</xdr:rowOff>
    </xdr:from>
    <xdr:to>
      <xdr:col>3</xdr:col>
      <xdr:colOff>989517</xdr:colOff>
      <xdr:row>4</xdr:row>
      <xdr:rowOff>101599</xdr:rowOff>
    </xdr:to>
    <xdr:pic>
      <xdr:nvPicPr>
        <xdr:cNvPr id="3" name="Picture 7" descr="Logo_Quadri_V45ST.jpg"/>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0" y="0"/>
          <a:ext cx="1590650" cy="745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xdr:col>
      <xdr:colOff>982133</xdr:colOff>
      <xdr:row>0</xdr:row>
      <xdr:rowOff>0</xdr:rowOff>
    </xdr:from>
    <xdr:to>
      <xdr:col>7</xdr:col>
      <xdr:colOff>143934</xdr:colOff>
      <xdr:row>9</xdr:row>
      <xdr:rowOff>31937</xdr:rowOff>
    </xdr:to>
    <xdr:pic>
      <xdr:nvPicPr>
        <xdr:cNvPr id="4" name="Picture 3"/>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1583266" y="0"/>
          <a:ext cx="863601" cy="14797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7</xdr:col>
      <xdr:colOff>999066</xdr:colOff>
      <xdr:row>0</xdr:row>
      <xdr:rowOff>0</xdr:rowOff>
    </xdr:from>
    <xdr:to>
      <xdr:col>7</xdr:col>
      <xdr:colOff>1875365</xdr:colOff>
      <xdr:row>9</xdr:row>
      <xdr:rowOff>28295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099799" y="0"/>
          <a:ext cx="876299" cy="1501495"/>
        </a:xfrm>
        <a:prstGeom prst="rect">
          <a:avLst/>
        </a:prstGeom>
      </xdr:spPr>
    </xdr:pic>
    <xdr:clientData/>
  </xdr:twoCellAnchor>
  <xdr:twoCellAnchor editAs="oneCell">
    <xdr:from>
      <xdr:col>0</xdr:col>
      <xdr:colOff>0</xdr:colOff>
      <xdr:row>0</xdr:row>
      <xdr:rowOff>135467</xdr:rowOff>
    </xdr:from>
    <xdr:to>
      <xdr:col>2</xdr:col>
      <xdr:colOff>1185334</xdr:colOff>
      <xdr:row>6</xdr:row>
      <xdr:rowOff>159936</xdr:rowOff>
    </xdr:to>
    <xdr:pic>
      <xdr:nvPicPr>
        <xdr:cNvPr id="3" name="Picture 2"/>
        <xdr:cNvPicPr>
          <a:picLocks noChangeAspect="1"/>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tretch>
          <a:fillRect/>
        </a:stretch>
      </xdr:blipFill>
      <xdr:spPr>
        <a:xfrm>
          <a:off x="0" y="135467"/>
          <a:ext cx="2142067" cy="99813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177801</xdr:colOff>
      <xdr:row>25</xdr:row>
      <xdr:rowOff>67734</xdr:rowOff>
    </xdr:from>
    <xdr:to>
      <xdr:col>12</xdr:col>
      <xdr:colOff>237067</xdr:colOff>
      <xdr:row>29</xdr:row>
      <xdr:rowOff>93133</xdr:rowOff>
    </xdr:to>
    <xdr:cxnSp macro="">
      <xdr:nvCxnSpPr>
        <xdr:cNvPr id="3" name="Straight Arrow Connector 2"/>
        <xdr:cNvCxnSpPr/>
      </xdr:nvCxnSpPr>
      <xdr:spPr bwMode="auto">
        <a:xfrm flipH="1" flipV="1">
          <a:off x="7772401" y="5613401"/>
          <a:ext cx="338666" cy="533399"/>
        </a:xfrm>
        <a:prstGeom prst="straightConnector1">
          <a:avLst/>
        </a:prstGeom>
        <a:solidFill>
          <a:srgbClr val="FFFFFF"/>
        </a:solidFill>
        <a:ln w="28575" cap="flat" cmpd="sng" algn="ctr">
          <a:solidFill>
            <a:srgbClr val="000000"/>
          </a:solidFill>
          <a:prstDash val="solid"/>
          <a:round/>
          <a:headEnd type="none" w="med" len="med"/>
          <a:tailEnd type="arrow"/>
        </a:ln>
        <a:effectLst/>
      </xdr:spPr>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nts%20and%20Settings/Owner.YOUR-ELVHTZ2B98/My%20Documents/Speedway%202004/SPEEDWAY%20GRAND%20PRIX/Working%20Copy%20of%20GP_%20SPEEDWAY/Working%20Copy%20of%20GP_%20SPEEDWAY/Working%20Copy%20of%20GP_%20SPEEDWAY/IMN03502_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TAILS"/>
      <sheetName val="RESULTS"/>
      <sheetName val="RIDERS"/>
      <sheetName val="SYSTEM"/>
    </sheetNames>
    <sheetDataSet>
      <sheetData sheetId="0" refreshError="1"/>
      <sheetData sheetId="1" refreshError="1"/>
      <sheetData sheetId="2" refreshError="1">
        <row r="1">
          <cell r="A1" t="str">
            <v>PLACE</v>
          </cell>
          <cell r="B1" t="str">
            <v>RIDING N°</v>
          </cell>
          <cell r="C1" t="str">
            <v>NAME</v>
          </cell>
          <cell r="D1" t="str">
            <v>FMN</v>
          </cell>
          <cell r="E1" t="str">
            <v>NATION</v>
          </cell>
          <cell r="F1" t="str">
            <v>STATUS</v>
          </cell>
        </row>
        <row r="2">
          <cell r="A2">
            <v>1</v>
          </cell>
          <cell r="B2">
            <v>6</v>
          </cell>
          <cell r="C2" t="str">
            <v>Tomasz GOLLOB</v>
          </cell>
          <cell r="D2" t="str">
            <v>PZM</v>
          </cell>
          <cell r="E2" t="str">
            <v>POL</v>
          </cell>
          <cell r="F2" t="str">
            <v>RIDER</v>
          </cell>
        </row>
        <row r="3">
          <cell r="A3">
            <v>2</v>
          </cell>
          <cell r="B3">
            <v>2</v>
          </cell>
          <cell r="C3" t="str">
            <v>Jason CRUMP</v>
          </cell>
          <cell r="D3" t="str">
            <v>MA</v>
          </cell>
          <cell r="E3" t="str">
            <v>AUS</v>
          </cell>
          <cell r="F3" t="str">
            <v>RIDER</v>
          </cell>
        </row>
        <row r="4">
          <cell r="A4">
            <v>3</v>
          </cell>
          <cell r="B4">
            <v>3</v>
          </cell>
          <cell r="C4" t="str">
            <v>Tony RICKARDSSON</v>
          </cell>
          <cell r="D4" t="str">
            <v>SVEMO</v>
          </cell>
          <cell r="E4" t="str">
            <v>SWE</v>
          </cell>
          <cell r="F4" t="str">
            <v>RIDER</v>
          </cell>
        </row>
        <row r="5">
          <cell r="A5">
            <v>4</v>
          </cell>
          <cell r="B5">
            <v>8</v>
          </cell>
          <cell r="C5" t="str">
            <v>Rune HOLTA</v>
          </cell>
          <cell r="D5" t="str">
            <v>NMF</v>
          </cell>
          <cell r="E5" t="str">
            <v>NOR</v>
          </cell>
          <cell r="F5" t="str">
            <v>RIDER</v>
          </cell>
        </row>
        <row r="6">
          <cell r="A6">
            <v>5</v>
          </cell>
          <cell r="B6">
            <v>4</v>
          </cell>
          <cell r="C6" t="str">
            <v>Leigh ADAMS</v>
          </cell>
          <cell r="D6" t="str">
            <v>MA</v>
          </cell>
          <cell r="E6" t="str">
            <v>AUS</v>
          </cell>
          <cell r="F6" t="str">
            <v>RIDER</v>
          </cell>
        </row>
        <row r="7">
          <cell r="A7">
            <v>6</v>
          </cell>
          <cell r="B7">
            <v>22</v>
          </cell>
          <cell r="C7" t="str">
            <v>Jaroslaw HAMPEL</v>
          </cell>
          <cell r="D7" t="str">
            <v>PZM</v>
          </cell>
          <cell r="E7" t="str">
            <v>POL</v>
          </cell>
          <cell r="F7" t="str">
            <v>RIDER</v>
          </cell>
        </row>
        <row r="8">
          <cell r="A8">
            <v>7</v>
          </cell>
          <cell r="B8">
            <v>1</v>
          </cell>
          <cell r="C8" t="str">
            <v>Nicki PEDERSEN</v>
          </cell>
          <cell r="D8" t="str">
            <v>DMU</v>
          </cell>
          <cell r="E8" t="str">
            <v>DEN</v>
          </cell>
          <cell r="F8" t="str">
            <v>RIDER</v>
          </cell>
        </row>
        <row r="9">
          <cell r="A9">
            <v>8</v>
          </cell>
          <cell r="B9">
            <v>7</v>
          </cell>
          <cell r="C9" t="str">
            <v>Scott NICHOLLS</v>
          </cell>
          <cell r="D9" t="str">
            <v>ACU</v>
          </cell>
          <cell r="E9" t="str">
            <v>GBR</v>
          </cell>
          <cell r="F9" t="str">
            <v>RIDER</v>
          </cell>
        </row>
        <row r="10">
          <cell r="A10">
            <v>9</v>
          </cell>
          <cell r="B10">
            <v>10</v>
          </cell>
          <cell r="C10" t="str">
            <v>Andreas JONSSON</v>
          </cell>
          <cell r="D10" t="str">
            <v>SVEMO</v>
          </cell>
          <cell r="E10" t="str">
            <v>SWE</v>
          </cell>
          <cell r="F10" t="str">
            <v>RIDER</v>
          </cell>
        </row>
        <row r="11">
          <cell r="A11">
            <v>10</v>
          </cell>
          <cell r="B11">
            <v>17</v>
          </cell>
          <cell r="C11" t="str">
            <v>Hans ANDERSEN</v>
          </cell>
          <cell r="D11" t="str">
            <v>DMU</v>
          </cell>
          <cell r="E11" t="str">
            <v>DEN</v>
          </cell>
          <cell r="F11" t="str">
            <v>RIDER</v>
          </cell>
        </row>
        <row r="12">
          <cell r="A12">
            <v>11</v>
          </cell>
          <cell r="B12">
            <v>12</v>
          </cell>
          <cell r="C12" t="str">
            <v>Piotr PROTASIEWICZ</v>
          </cell>
          <cell r="D12" t="str">
            <v>PZM</v>
          </cell>
          <cell r="E12" t="str">
            <v>POL</v>
          </cell>
          <cell r="F12" t="str">
            <v>RIDER</v>
          </cell>
        </row>
        <row r="13">
          <cell r="A13">
            <v>12</v>
          </cell>
          <cell r="B13">
            <v>16</v>
          </cell>
          <cell r="C13" t="str">
            <v>Lee RICHARDSON</v>
          </cell>
          <cell r="D13" t="str">
            <v>ACU</v>
          </cell>
          <cell r="E13" t="str">
            <v>GBR</v>
          </cell>
          <cell r="F13" t="str">
            <v>RIDER</v>
          </cell>
        </row>
        <row r="14">
          <cell r="A14">
            <v>13</v>
          </cell>
          <cell r="B14">
            <v>5</v>
          </cell>
          <cell r="C14" t="str">
            <v>Greg HANCOCK</v>
          </cell>
          <cell r="D14" t="str">
            <v>AMA</v>
          </cell>
          <cell r="E14" t="str">
            <v>USA</v>
          </cell>
          <cell r="F14" t="str">
            <v>RIDER</v>
          </cell>
        </row>
        <row r="15">
          <cell r="A15">
            <v>14</v>
          </cell>
          <cell r="B15">
            <v>9</v>
          </cell>
          <cell r="C15" t="str">
            <v>Ryan SULLIVAN</v>
          </cell>
          <cell r="D15" t="str">
            <v>MA</v>
          </cell>
          <cell r="E15" t="str">
            <v>AUS</v>
          </cell>
          <cell r="F15" t="str">
            <v>RIDER</v>
          </cell>
        </row>
        <row r="16">
          <cell r="A16">
            <v>15</v>
          </cell>
          <cell r="B16">
            <v>15</v>
          </cell>
          <cell r="C16" t="str">
            <v>Bjarne PEDERSEN</v>
          </cell>
          <cell r="D16" t="str">
            <v>DMU</v>
          </cell>
          <cell r="E16" t="str">
            <v>DEN</v>
          </cell>
          <cell r="F16" t="str">
            <v>RIDER</v>
          </cell>
        </row>
        <row r="17">
          <cell r="A17">
            <v>16</v>
          </cell>
          <cell r="B17">
            <v>20</v>
          </cell>
          <cell r="C17" t="str">
            <v>Ales DRYML</v>
          </cell>
          <cell r="D17" t="str">
            <v>ACCR</v>
          </cell>
          <cell r="E17" t="str">
            <v>CZE</v>
          </cell>
          <cell r="F17" t="str">
            <v>RIDER</v>
          </cell>
        </row>
        <row r="18">
          <cell r="A18">
            <v>17</v>
          </cell>
          <cell r="B18">
            <v>11</v>
          </cell>
          <cell r="C18" t="str">
            <v>Mark LORAM</v>
          </cell>
          <cell r="D18" t="str">
            <v>ACU</v>
          </cell>
          <cell r="E18" t="str">
            <v>GBR</v>
          </cell>
          <cell r="F18" t="str">
            <v>RIDER</v>
          </cell>
        </row>
        <row r="19">
          <cell r="A19">
            <v>18</v>
          </cell>
          <cell r="B19">
            <v>14</v>
          </cell>
          <cell r="C19" t="str">
            <v>Mikael MAX</v>
          </cell>
          <cell r="D19" t="str">
            <v>SVEMO</v>
          </cell>
          <cell r="E19" t="str">
            <v>SWE</v>
          </cell>
          <cell r="F19" t="str">
            <v>RIDER</v>
          </cell>
        </row>
        <row r="20">
          <cell r="A20">
            <v>19</v>
          </cell>
          <cell r="B20">
            <v>19</v>
          </cell>
          <cell r="C20" t="str">
            <v>Kaj LAUKKANEN</v>
          </cell>
          <cell r="D20" t="str">
            <v>SML</v>
          </cell>
          <cell r="E20" t="str">
            <v>FIN</v>
          </cell>
          <cell r="F20" t="str">
            <v>RIDER</v>
          </cell>
        </row>
        <row r="21">
          <cell r="A21">
            <v>20</v>
          </cell>
          <cell r="B21">
            <v>21</v>
          </cell>
          <cell r="C21" t="str">
            <v>Jesper B. JENSEN</v>
          </cell>
          <cell r="D21" t="str">
            <v>DMU</v>
          </cell>
          <cell r="E21" t="str">
            <v>DEN</v>
          </cell>
          <cell r="F21" t="str">
            <v>RIDER</v>
          </cell>
        </row>
        <row r="22">
          <cell r="A22">
            <v>21</v>
          </cell>
          <cell r="B22">
            <v>25</v>
          </cell>
          <cell r="C22" t="str">
            <v>Joonas KYLMÄKORPI</v>
          </cell>
          <cell r="D22" t="str">
            <v>SML</v>
          </cell>
          <cell r="E22" t="str">
            <v>FIN</v>
          </cell>
          <cell r="F22" t="str">
            <v>RIDER</v>
          </cell>
        </row>
        <row r="23">
          <cell r="A23">
            <v>22</v>
          </cell>
          <cell r="B23">
            <v>18</v>
          </cell>
          <cell r="C23" t="str">
            <v>Bohumil BRHEL</v>
          </cell>
          <cell r="D23" t="str">
            <v>ACCR</v>
          </cell>
          <cell r="E23" t="str">
            <v>CZE</v>
          </cell>
          <cell r="F23" t="str">
            <v>RIDER</v>
          </cell>
        </row>
        <row r="24">
          <cell r="A24">
            <v>23</v>
          </cell>
          <cell r="B24">
            <v>23</v>
          </cell>
          <cell r="C24" t="str">
            <v>Arnt FØRLAND</v>
          </cell>
          <cell r="D24" t="str">
            <v>NMF</v>
          </cell>
          <cell r="E24" t="str">
            <v>NOR</v>
          </cell>
          <cell r="F24" t="str">
            <v>WILD CARD</v>
          </cell>
        </row>
        <row r="25">
          <cell r="A25">
            <v>24</v>
          </cell>
          <cell r="B25">
            <v>24</v>
          </cell>
          <cell r="C25" t="str">
            <v>Rune SOLA</v>
          </cell>
          <cell r="D25" t="str">
            <v>NMF</v>
          </cell>
          <cell r="E25" t="str">
            <v>NOR</v>
          </cell>
          <cell r="F25" t="str">
            <v>WILD CARD</v>
          </cell>
        </row>
      </sheetData>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dave@kandysoft.com" TargetMode="External"/><Relationship Id="rId4" Type="http://schemas.openxmlformats.org/officeDocument/2006/relationships/image" Target="../media/image1.png"/></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7030A0"/>
    <pageSetUpPr fitToPage="1"/>
  </sheetPr>
  <dimension ref="A1:P125"/>
  <sheetViews>
    <sheetView showGridLines="0" showRowColHeaders="0" topLeftCell="A28" workbookViewId="0">
      <selection activeCell="H45" sqref="H45:P46"/>
    </sheetView>
  </sheetViews>
  <sheetFormatPr defaultColWidth="9.140625" defaultRowHeight="12.75"/>
  <cols>
    <col min="1" max="1" width="5.7109375" style="58" customWidth="1"/>
    <col min="2" max="2" width="2" style="13" customWidth="1"/>
    <col min="3" max="4" width="9.140625" style="13" customWidth="1"/>
    <col min="5" max="5" width="3.85546875" style="13" customWidth="1"/>
    <col min="6" max="6" width="9.140625" style="13" customWidth="1"/>
    <col min="7" max="7" width="3.28515625" style="13" customWidth="1"/>
    <col min="8" max="8" width="3.42578125" style="13" customWidth="1"/>
    <col min="9" max="9" width="3" style="13" customWidth="1"/>
    <col min="10" max="11" width="2.7109375" style="13" customWidth="1"/>
    <col min="12" max="12" width="3" style="13" customWidth="1"/>
    <col min="13" max="13" width="2.7109375" style="13" customWidth="1"/>
    <col min="14" max="16384" width="9.140625" style="13"/>
  </cols>
  <sheetData>
    <row r="1" spans="1:15" ht="23.25">
      <c r="B1" s="904" t="s">
        <v>290</v>
      </c>
      <c r="C1" s="904"/>
      <c r="D1" s="904"/>
      <c r="E1" s="904"/>
      <c r="F1" s="904"/>
      <c r="G1" s="904"/>
      <c r="H1" s="904"/>
      <c r="I1" s="904"/>
      <c r="J1" s="904"/>
      <c r="K1" s="904"/>
      <c r="L1" s="904"/>
      <c r="M1" s="904"/>
      <c r="N1" s="904"/>
      <c r="O1" s="904"/>
    </row>
    <row r="2" spans="1:15" ht="21.95" customHeight="1">
      <c r="A2" s="59"/>
      <c r="B2" s="60" t="s">
        <v>291</v>
      </c>
    </row>
    <row r="3" spans="1:15" ht="12.75" customHeight="1">
      <c r="A3" s="287"/>
    </row>
    <row r="4" spans="1:15" s="58" customFormat="1">
      <c r="A4" s="905" t="s">
        <v>299</v>
      </c>
      <c r="B4" s="901"/>
      <c r="C4" s="901"/>
      <c r="D4" s="902"/>
      <c r="E4" s="902"/>
      <c r="F4" s="902"/>
      <c r="G4" s="902"/>
      <c r="H4" s="902"/>
      <c r="I4" s="902"/>
      <c r="J4" s="902"/>
      <c r="K4" s="902"/>
      <c r="L4" s="902"/>
      <c r="M4" s="902"/>
      <c r="N4" s="902"/>
    </row>
    <row r="5" spans="1:15" s="58" customFormat="1">
      <c r="A5" s="1024" t="s">
        <v>300</v>
      </c>
      <c r="B5" s="1024"/>
      <c r="C5" s="1024"/>
      <c r="D5" s="1024"/>
      <c r="E5" s="1024"/>
      <c r="F5" s="1024"/>
      <c r="G5" s="1024"/>
      <c r="H5" s="1024"/>
      <c r="I5" s="1024"/>
      <c r="J5" s="1024"/>
      <c r="K5" s="1024"/>
      <c r="L5" s="1024"/>
      <c r="M5" s="1024"/>
      <c r="N5" s="1025"/>
    </row>
    <row r="6" spans="1:15" s="58" customFormat="1">
      <c r="A6" s="1024" t="s">
        <v>301</v>
      </c>
      <c r="B6" s="1024"/>
      <c r="C6" s="1024"/>
      <c r="D6" s="1024"/>
      <c r="E6" s="1024"/>
      <c r="F6" s="1024"/>
      <c r="G6" s="1024"/>
      <c r="H6" s="1024"/>
      <c r="I6" s="1024"/>
      <c r="J6" s="1024"/>
      <c r="K6" s="1024"/>
      <c r="L6" s="1024"/>
      <c r="M6" s="1024"/>
      <c r="N6" s="1025"/>
    </row>
    <row r="7" spans="1:15" s="58" customFormat="1">
      <c r="A7" s="1024" t="s">
        <v>267</v>
      </c>
      <c r="B7" s="1024"/>
      <c r="C7" s="1024"/>
      <c r="D7" s="1024"/>
      <c r="E7" s="1024"/>
      <c r="F7" s="1024"/>
      <c r="G7" s="1024"/>
      <c r="H7" s="1024"/>
      <c r="I7" s="1024"/>
      <c r="J7" s="1024"/>
      <c r="K7" s="1024"/>
      <c r="L7" s="1024"/>
      <c r="M7" s="1024"/>
      <c r="N7" s="1025"/>
    </row>
    <row r="8" spans="1:15" s="58" customFormat="1">
      <c r="A8" s="905"/>
      <c r="B8" s="901"/>
      <c r="C8" s="901"/>
      <c r="D8" s="902"/>
      <c r="E8" s="902"/>
      <c r="F8" s="902"/>
      <c r="G8" s="902"/>
      <c r="H8" s="902"/>
      <c r="I8" s="902"/>
      <c r="J8" s="902"/>
      <c r="K8" s="902"/>
      <c r="L8" s="902"/>
      <c r="M8" s="902"/>
      <c r="N8" s="902"/>
    </row>
    <row r="9" spans="1:15" s="58" customFormat="1">
      <c r="A9" s="1024" t="s">
        <v>292</v>
      </c>
      <c r="B9" s="1024"/>
      <c r="C9" s="1024"/>
      <c r="D9" s="1024"/>
      <c r="E9" s="1024"/>
      <c r="F9" s="1024"/>
      <c r="G9" s="1024"/>
      <c r="H9" s="1024"/>
      <c r="I9" s="1024"/>
      <c r="J9" s="1024"/>
      <c r="K9" s="1024"/>
      <c r="L9" s="1024"/>
      <c r="M9" s="1024"/>
      <c r="N9" s="1025"/>
    </row>
    <row r="10" spans="1:15" s="58" customFormat="1">
      <c r="A10" s="1047" t="s">
        <v>298</v>
      </c>
      <c r="B10" s="1047"/>
      <c r="C10" s="1047"/>
      <c r="D10" s="1047"/>
      <c r="E10" s="1047"/>
      <c r="F10" s="1047"/>
      <c r="G10" s="1047"/>
      <c r="H10" s="1047"/>
      <c r="I10" s="1047"/>
      <c r="J10" s="1047"/>
      <c r="K10" s="1047"/>
      <c r="L10" s="1047"/>
      <c r="M10" s="1047"/>
      <c r="N10" s="1047"/>
    </row>
    <row r="11" spans="1:15" s="58" customFormat="1">
      <c r="A11" s="903" t="s">
        <v>268</v>
      </c>
      <c r="B11" s="901"/>
      <c r="C11" s="901"/>
      <c r="D11" s="902"/>
      <c r="E11" s="902"/>
      <c r="F11" s="902"/>
      <c r="G11" s="902"/>
      <c r="H11" s="902"/>
      <c r="I11" s="902"/>
      <c r="J11" s="902"/>
      <c r="K11" s="902"/>
      <c r="L11" s="902"/>
      <c r="M11" s="902"/>
      <c r="N11" s="902"/>
    </row>
    <row r="12" spans="1:15" s="58" customFormat="1">
      <c r="A12" s="906" t="s">
        <v>269</v>
      </c>
      <c r="B12" s="901"/>
      <c r="C12" s="901"/>
      <c r="D12" s="902"/>
      <c r="E12" s="902"/>
      <c r="F12" s="902"/>
      <c r="G12" s="902"/>
      <c r="H12" s="902"/>
      <c r="I12" s="902"/>
      <c r="J12" s="902"/>
      <c r="K12" s="902"/>
      <c r="L12" s="902"/>
      <c r="M12" s="902"/>
      <c r="N12" s="902"/>
    </row>
    <row r="13" spans="1:15" s="58" customFormat="1">
      <c r="A13" s="907" t="s">
        <v>270</v>
      </c>
      <c r="B13" s="901"/>
      <c r="C13" s="901"/>
      <c r="D13" s="902"/>
      <c r="E13" s="902"/>
      <c r="F13" s="902"/>
      <c r="G13" s="902"/>
      <c r="H13" s="902"/>
      <c r="I13" s="902"/>
      <c r="J13" s="902"/>
      <c r="K13" s="902"/>
      <c r="L13" s="902"/>
      <c r="M13" s="902"/>
      <c r="N13" s="902"/>
    </row>
    <row r="14" spans="1:15" s="58" customFormat="1" ht="13.5" thickBot="1">
      <c r="A14" s="907" t="s">
        <v>271</v>
      </c>
      <c r="B14" s="901"/>
      <c r="C14" s="901"/>
      <c r="D14" s="902"/>
      <c r="E14" s="902"/>
      <c r="F14" s="902"/>
      <c r="G14" s="902"/>
      <c r="H14" s="902"/>
      <c r="I14" s="902"/>
      <c r="J14" s="902"/>
      <c r="K14" s="902"/>
      <c r="L14" s="902"/>
      <c r="M14" s="902"/>
      <c r="N14" s="902"/>
    </row>
    <row r="15" spans="1:15" s="58" customFormat="1">
      <c r="A15" s="1048" t="s">
        <v>272</v>
      </c>
      <c r="B15" s="1048"/>
      <c r="C15" s="1048"/>
      <c r="D15" s="1048"/>
      <c r="E15" s="1048"/>
      <c r="F15" s="1048"/>
      <c r="G15" s="1048"/>
      <c r="H15" s="1048"/>
      <c r="I15" s="1048"/>
      <c r="J15" s="1048"/>
      <c r="K15" s="1048"/>
      <c r="L15" s="1048"/>
      <c r="M15" s="1048"/>
      <c r="N15" s="1048"/>
    </row>
    <row r="16" spans="1:15" s="58" customFormat="1" ht="13.5" thickBot="1">
      <c r="A16" s="1049" t="s">
        <v>273</v>
      </c>
      <c r="B16" s="1049"/>
      <c r="C16" s="1049"/>
      <c r="D16" s="1049"/>
      <c r="E16" s="1049"/>
      <c r="F16" s="1049"/>
      <c r="G16" s="1049"/>
      <c r="H16" s="1049"/>
      <c r="I16" s="1049"/>
      <c r="J16" s="1049"/>
      <c r="K16" s="1049"/>
      <c r="L16" s="1049"/>
      <c r="M16" s="1049"/>
      <c r="N16" s="1049"/>
    </row>
    <row r="17" spans="1:16" s="58" customFormat="1">
      <c r="A17" s="906" t="s">
        <v>293</v>
      </c>
      <c r="B17" s="901"/>
      <c r="C17" s="901"/>
      <c r="D17" s="902"/>
      <c r="E17" s="902"/>
      <c r="F17" s="902"/>
      <c r="G17" s="902"/>
      <c r="H17" s="902"/>
      <c r="I17" s="902"/>
      <c r="J17" s="902"/>
      <c r="K17" s="902"/>
      <c r="L17" s="902"/>
      <c r="M17" s="902"/>
      <c r="N17" s="902"/>
    </row>
    <row r="18" spans="1:16" s="58" customFormat="1" ht="13.5" thickBot="1">
      <c r="A18" s="1025"/>
      <c r="B18" s="1025"/>
      <c r="C18" s="1025"/>
      <c r="D18" s="1025"/>
      <c r="E18" s="1025"/>
      <c r="F18" s="1025"/>
      <c r="G18" s="1025"/>
      <c r="H18" s="1025"/>
      <c r="I18" s="1025"/>
      <c r="J18" s="1025"/>
      <c r="K18" s="1025"/>
      <c r="L18" s="1025"/>
      <c r="M18" s="1025"/>
      <c r="N18" s="1025"/>
    </row>
    <row r="19" spans="1:16" s="58" customFormat="1" ht="13.5" thickTop="1">
      <c r="A19" s="908" t="s">
        <v>274</v>
      </c>
      <c r="B19" s="908"/>
      <c r="C19" s="908"/>
      <c r="D19" s="908"/>
      <c r="E19" s="908"/>
      <c r="F19" s="908"/>
      <c r="G19" s="908"/>
      <c r="H19" s="908"/>
      <c r="I19" s="908"/>
      <c r="J19" s="908"/>
      <c r="K19" s="908"/>
      <c r="L19" s="908"/>
      <c r="M19" s="908"/>
      <c r="N19" s="908"/>
    </row>
    <row r="20" spans="1:16" s="58" customFormat="1">
      <c r="A20" s="909" t="s">
        <v>275</v>
      </c>
      <c r="B20" s="901"/>
      <c r="C20" s="901"/>
      <c r="D20" s="902"/>
      <c r="E20" s="902"/>
      <c r="F20" s="902"/>
      <c r="G20" s="902"/>
      <c r="H20" s="902"/>
      <c r="I20" s="902"/>
      <c r="J20" s="902"/>
      <c r="K20" s="902"/>
      <c r="L20" s="902"/>
      <c r="M20" s="902"/>
      <c r="N20" s="902"/>
    </row>
    <row r="21" spans="1:16" s="58" customFormat="1">
      <c r="A21" s="910"/>
      <c r="B21" s="910"/>
      <c r="C21" s="910"/>
      <c r="D21" s="910"/>
      <c r="E21" s="910"/>
      <c r="F21" s="910"/>
      <c r="G21" s="910"/>
      <c r="H21" s="910"/>
      <c r="I21" s="910"/>
      <c r="J21" s="910"/>
      <c r="K21" s="910"/>
      <c r="L21" s="910"/>
      <c r="M21" s="910"/>
      <c r="N21" s="910"/>
    </row>
    <row r="22" spans="1:16" ht="12.75" customHeight="1" thickBot="1">
      <c r="A22" s="288"/>
    </row>
    <row r="23" spans="1:16" ht="13.15" customHeight="1">
      <c r="A23" s="1040" t="s">
        <v>266</v>
      </c>
      <c r="B23" s="1041"/>
      <c r="C23" s="1041"/>
      <c r="D23" s="1041"/>
      <c r="E23" s="1041"/>
      <c r="F23" s="1041"/>
      <c r="G23" s="1041"/>
      <c r="H23" s="1041"/>
      <c r="I23" s="1041"/>
      <c r="J23" s="1041"/>
      <c r="K23" s="1041"/>
      <c r="L23" s="1041"/>
      <c r="M23" s="1041"/>
      <c r="N23" s="1041"/>
      <c r="O23" s="1041"/>
      <c r="P23" s="1042"/>
    </row>
    <row r="24" spans="1:16" ht="13.9" customHeight="1" thickBot="1">
      <c r="A24" s="1043"/>
      <c r="B24" s="1044"/>
      <c r="C24" s="1044"/>
      <c r="D24" s="1044"/>
      <c r="E24" s="1044"/>
      <c r="F24" s="1044"/>
      <c r="G24" s="1044"/>
      <c r="H24" s="1044"/>
      <c r="I24" s="1044"/>
      <c r="J24" s="1044"/>
      <c r="K24" s="1044"/>
      <c r="L24" s="1044"/>
      <c r="M24" s="1044"/>
      <c r="N24" s="1044"/>
      <c r="O24" s="1044"/>
      <c r="P24" s="1045"/>
    </row>
    <row r="25" spans="1:16">
      <c r="A25" s="427"/>
      <c r="B25" s="428"/>
      <c r="C25" s="428"/>
      <c r="D25" s="428"/>
      <c r="E25" s="428"/>
      <c r="F25" s="428"/>
      <c r="G25" s="428"/>
      <c r="H25" s="428"/>
      <c r="I25" s="428"/>
      <c r="J25" s="428"/>
      <c r="K25" s="428"/>
      <c r="L25" s="428"/>
      <c r="M25" s="428"/>
      <c r="N25" s="428"/>
      <c r="O25" s="428"/>
      <c r="P25" s="429"/>
    </row>
    <row r="26" spans="1:16" ht="13.15" customHeight="1">
      <c r="A26" s="911">
        <v>1</v>
      </c>
      <c r="B26" s="324"/>
      <c r="C26" s="912" t="s">
        <v>294</v>
      </c>
      <c r="D26" s="912"/>
      <c r="E26" s="912"/>
      <c r="F26" s="912"/>
      <c r="G26" s="912"/>
      <c r="H26" s="912"/>
      <c r="I26" s="912"/>
      <c r="J26" s="912"/>
      <c r="K26" s="912"/>
      <c r="L26" s="912"/>
      <c r="M26" s="912"/>
      <c r="N26" s="912"/>
      <c r="O26" s="912"/>
      <c r="P26" s="913"/>
    </row>
    <row r="27" spans="1:16">
      <c r="A27" s="911"/>
      <c r="B27" s="324"/>
      <c r="C27" s="914"/>
      <c r="D27" s="914"/>
      <c r="E27" s="914"/>
      <c r="F27" s="914"/>
      <c r="G27" s="324"/>
      <c r="H27" s="324"/>
      <c r="I27" s="324"/>
      <c r="J27" s="324"/>
      <c r="K27" s="324"/>
      <c r="L27" s="324"/>
      <c r="M27" s="324"/>
      <c r="N27" s="324"/>
      <c r="O27" s="324"/>
      <c r="P27" s="298"/>
    </row>
    <row r="28" spans="1:16">
      <c r="A28" s="911"/>
      <c r="B28" s="324"/>
      <c r="C28" s="914" t="s">
        <v>276</v>
      </c>
      <c r="D28" s="914"/>
      <c r="E28" s="914"/>
      <c r="F28" s="914"/>
      <c r="G28" s="324"/>
      <c r="H28" s="324"/>
      <c r="I28" s="324"/>
      <c r="J28" s="324"/>
      <c r="K28" s="324"/>
      <c r="L28" s="324"/>
      <c r="M28" s="324"/>
      <c r="N28" s="324"/>
      <c r="O28" s="324"/>
      <c r="P28" s="298"/>
    </row>
    <row r="29" spans="1:16">
      <c r="A29" s="911"/>
      <c r="B29" s="324"/>
      <c r="C29" s="914" t="s">
        <v>277</v>
      </c>
      <c r="D29" s="914"/>
      <c r="E29" s="914"/>
      <c r="F29" s="914"/>
      <c r="G29" s="324"/>
      <c r="H29" s="324"/>
      <c r="I29" s="324"/>
      <c r="J29" s="324"/>
      <c r="K29" s="324"/>
      <c r="L29" s="324"/>
      <c r="M29" s="324"/>
      <c r="N29" s="324"/>
      <c r="O29" s="324"/>
      <c r="P29" s="298"/>
    </row>
    <row r="30" spans="1:16">
      <c r="A30" s="911"/>
      <c r="B30" s="324"/>
      <c r="C30" s="324" t="s">
        <v>278</v>
      </c>
      <c r="D30" s="324"/>
      <c r="E30" s="324"/>
      <c r="F30" s="324"/>
      <c r="G30" s="324"/>
      <c r="H30" s="324"/>
      <c r="I30" s="324"/>
      <c r="J30" s="324"/>
      <c r="K30" s="324"/>
      <c r="L30" s="324"/>
      <c r="M30" s="324"/>
      <c r="N30" s="324"/>
      <c r="O30" s="324"/>
      <c r="P30" s="298"/>
    </row>
    <row r="31" spans="1:16">
      <c r="A31" s="911"/>
      <c r="B31" s="324"/>
      <c r="C31" s="324" t="s">
        <v>279</v>
      </c>
      <c r="D31" s="324"/>
      <c r="E31" s="324"/>
      <c r="F31" s="324"/>
      <c r="G31" s="324"/>
      <c r="H31" s="324"/>
      <c r="I31" s="324"/>
      <c r="J31" s="324"/>
      <c r="K31" s="324"/>
      <c r="L31" s="324"/>
      <c r="M31" s="324"/>
      <c r="N31" s="324"/>
      <c r="O31" s="324"/>
      <c r="P31" s="298"/>
    </row>
    <row r="32" spans="1:16">
      <c r="A32" s="911"/>
      <c r="B32" s="324"/>
      <c r="C32" s="324" t="s">
        <v>280</v>
      </c>
      <c r="D32" s="324"/>
      <c r="E32" s="324"/>
      <c r="F32" s="324"/>
      <c r="G32" s="324"/>
      <c r="H32" s="324"/>
      <c r="I32" s="324"/>
      <c r="J32" s="324"/>
      <c r="K32" s="324"/>
      <c r="L32" s="324"/>
      <c r="M32" s="324"/>
      <c r="N32" s="324"/>
      <c r="O32" s="324"/>
      <c r="P32" s="298"/>
    </row>
    <row r="33" spans="1:16">
      <c r="A33" s="911"/>
      <c r="B33" s="324"/>
      <c r="C33" s="324" t="s">
        <v>281</v>
      </c>
      <c r="D33" s="324"/>
      <c r="E33" s="324"/>
      <c r="F33" s="324"/>
      <c r="G33" s="324"/>
      <c r="H33" s="324"/>
      <c r="I33" s="324"/>
      <c r="J33" s="324"/>
      <c r="K33" s="324"/>
      <c r="L33" s="324"/>
      <c r="M33" s="324"/>
      <c r="N33" s="324"/>
      <c r="O33" s="324"/>
      <c r="P33" s="298"/>
    </row>
    <row r="34" spans="1:16">
      <c r="A34" s="911"/>
      <c r="B34" s="324"/>
      <c r="C34" s="324"/>
      <c r="D34" s="324"/>
      <c r="E34" s="324"/>
      <c r="F34" s="324"/>
      <c r="G34" s="324"/>
      <c r="H34" s="324"/>
      <c r="I34" s="324"/>
      <c r="J34" s="324"/>
      <c r="K34" s="324"/>
      <c r="L34" s="324"/>
      <c r="M34" s="324"/>
      <c r="N34" s="324"/>
      <c r="O34" s="324"/>
      <c r="P34" s="298"/>
    </row>
    <row r="35" spans="1:16">
      <c r="A35" s="911"/>
      <c r="B35" s="324"/>
      <c r="C35" s="915" t="s">
        <v>60</v>
      </c>
      <c r="D35" s="324"/>
      <c r="E35" s="324"/>
      <c r="F35" s="324"/>
      <c r="G35" s="324"/>
      <c r="H35" s="324"/>
      <c r="I35" s="324"/>
      <c r="J35" s="324"/>
      <c r="K35" s="324"/>
      <c r="L35" s="324"/>
      <c r="M35" s="324"/>
      <c r="N35" s="324"/>
      <c r="O35" s="324"/>
      <c r="P35" s="298"/>
    </row>
    <row r="36" spans="1:16">
      <c r="A36" s="911"/>
      <c r="B36" s="324"/>
      <c r="C36" s="324"/>
      <c r="D36" s="324"/>
      <c r="E36" s="324"/>
      <c r="F36" s="324"/>
      <c r="G36" s="324"/>
      <c r="H36" s="324"/>
      <c r="I36" s="324"/>
      <c r="J36" s="324"/>
      <c r="K36" s="324"/>
      <c r="L36" s="324"/>
      <c r="M36" s="324"/>
      <c r="N36" s="324"/>
      <c r="O36" s="324"/>
      <c r="P36" s="298"/>
    </row>
    <row r="37" spans="1:16" ht="13.5" thickBot="1">
      <c r="A37" s="432"/>
      <c r="B37" s="61"/>
      <c r="C37" s="61"/>
      <c r="D37" s="61"/>
      <c r="E37" s="61"/>
      <c r="F37" s="61"/>
      <c r="G37" s="61"/>
      <c r="H37" s="61"/>
      <c r="I37" s="61"/>
      <c r="J37" s="61"/>
      <c r="K37" s="61"/>
      <c r="L37" s="61"/>
      <c r="M37" s="61"/>
      <c r="N37" s="61"/>
      <c r="O37" s="61"/>
      <c r="P37" s="433"/>
    </row>
    <row r="38" spans="1:16">
      <c r="A38" s="427">
        <v>2</v>
      </c>
      <c r="B38" s="428" t="s">
        <v>55</v>
      </c>
      <c r="C38" s="428"/>
      <c r="D38" s="428"/>
      <c r="E38" s="428"/>
      <c r="F38" s="428"/>
      <c r="G38" s="428"/>
      <c r="H38" s="428"/>
      <c r="I38" s="428"/>
      <c r="J38" s="428"/>
      <c r="K38" s="428"/>
      <c r="L38" s="428"/>
      <c r="M38" s="428"/>
      <c r="N38" s="428"/>
      <c r="O38" s="428"/>
      <c r="P38" s="429"/>
    </row>
    <row r="39" spans="1:16">
      <c r="A39" s="430"/>
      <c r="B39" s="21"/>
      <c r="C39" s="21"/>
      <c r="D39" s="21"/>
      <c r="E39" s="21"/>
      <c r="F39" s="21"/>
      <c r="G39" s="21"/>
      <c r="H39" s="21"/>
      <c r="I39" s="21"/>
      <c r="J39" s="21"/>
      <c r="K39" s="21"/>
      <c r="L39" s="21"/>
      <c r="M39" s="21"/>
      <c r="N39" s="21"/>
      <c r="O39" s="21"/>
      <c r="P39" s="431"/>
    </row>
    <row r="40" spans="1:16">
      <c r="A40" s="430"/>
      <c r="B40" s="21"/>
      <c r="C40" s="21"/>
      <c r="D40" s="21"/>
      <c r="E40" s="21"/>
      <c r="F40" s="21"/>
      <c r="G40" s="21"/>
      <c r="H40" s="21"/>
      <c r="I40" s="21"/>
      <c r="J40" s="21"/>
      <c r="K40" s="21"/>
      <c r="L40" s="21"/>
      <c r="M40" s="21"/>
      <c r="N40" s="21"/>
      <c r="O40" s="21"/>
      <c r="P40" s="431"/>
    </row>
    <row r="41" spans="1:16">
      <c r="A41" s="430"/>
      <c r="B41" s="21"/>
      <c r="C41" s="21"/>
      <c r="D41" s="21"/>
      <c r="E41" s="21"/>
      <c r="F41" s="21"/>
      <c r="G41" s="21"/>
      <c r="H41" s="21"/>
      <c r="I41" s="21"/>
      <c r="J41" s="21"/>
      <c r="K41" s="21"/>
      <c r="L41" s="21"/>
      <c r="M41" s="21"/>
      <c r="N41" s="21"/>
      <c r="O41" s="21"/>
      <c r="P41" s="431"/>
    </row>
    <row r="42" spans="1:16">
      <c r="A42" s="430"/>
      <c r="B42" s="21"/>
      <c r="C42" s="21"/>
      <c r="D42" s="21"/>
      <c r="E42" s="21"/>
      <c r="F42" s="21"/>
      <c r="G42" s="21"/>
      <c r="H42" s="21"/>
      <c r="I42" s="21"/>
      <c r="J42" s="21"/>
      <c r="K42" s="21"/>
      <c r="L42" s="21"/>
      <c r="M42" s="21"/>
      <c r="N42" s="21"/>
      <c r="O42" s="21"/>
      <c r="P42" s="431"/>
    </row>
    <row r="43" spans="1:16">
      <c r="A43" s="430"/>
      <c r="B43" s="21"/>
      <c r="C43" s="21"/>
      <c r="D43" s="21"/>
      <c r="E43" s="21"/>
      <c r="F43" s="21"/>
      <c r="G43" s="21"/>
      <c r="H43" s="21"/>
      <c r="I43" s="21"/>
      <c r="J43" s="21"/>
      <c r="K43" s="21"/>
      <c r="L43" s="21"/>
      <c r="M43" s="21"/>
      <c r="N43" s="21"/>
      <c r="O43" s="21"/>
      <c r="P43" s="431"/>
    </row>
    <row r="44" spans="1:16">
      <c r="A44" s="430"/>
      <c r="B44" s="21"/>
      <c r="C44" s="21"/>
      <c r="D44" s="21"/>
      <c r="E44" s="21"/>
      <c r="F44" s="21"/>
      <c r="G44" s="21"/>
      <c r="H44" s="21"/>
      <c r="I44" s="21"/>
      <c r="J44" s="21"/>
      <c r="K44" s="21"/>
      <c r="L44" s="21"/>
      <c r="M44" s="21"/>
      <c r="N44" s="21"/>
      <c r="O44" s="21"/>
      <c r="P44" s="431"/>
    </row>
    <row r="45" spans="1:16">
      <c r="A45" s="430"/>
      <c r="B45" s="21"/>
      <c r="C45" s="21"/>
      <c r="D45" s="21"/>
      <c r="E45" s="21"/>
      <c r="F45" s="21"/>
      <c r="G45" s="21"/>
      <c r="H45" s="1035" t="s">
        <v>131</v>
      </c>
      <c r="I45" s="1035"/>
      <c r="J45" s="1035"/>
      <c r="K45" s="1035"/>
      <c r="L45" s="1035"/>
      <c r="M45" s="1035"/>
      <c r="N45" s="1035"/>
      <c r="O45" s="1035"/>
      <c r="P45" s="1036"/>
    </row>
    <row r="46" spans="1:16">
      <c r="A46" s="430"/>
      <c r="B46" s="21"/>
      <c r="C46" s="21"/>
      <c r="D46" s="1035"/>
      <c r="E46" s="1035"/>
      <c r="F46" s="1035"/>
      <c r="G46" s="21"/>
      <c r="H46" s="1035"/>
      <c r="I46" s="1035"/>
      <c r="J46" s="1035"/>
      <c r="K46" s="1035"/>
      <c r="L46" s="1035"/>
      <c r="M46" s="1035"/>
      <c r="N46" s="1035"/>
      <c r="O46" s="1035"/>
      <c r="P46" s="1036"/>
    </row>
    <row r="47" spans="1:16">
      <c r="A47" s="430"/>
      <c r="B47" s="21"/>
      <c r="C47" s="21"/>
      <c r="D47" s="1035"/>
      <c r="E47" s="1035"/>
      <c r="F47" s="1035"/>
      <c r="G47" s="21"/>
      <c r="H47" s="21"/>
      <c r="I47" s="21"/>
      <c r="J47" s="21"/>
      <c r="K47" s="21"/>
      <c r="L47" s="21"/>
      <c r="M47" s="21"/>
      <c r="N47" s="21"/>
      <c r="O47" s="21"/>
      <c r="P47" s="431"/>
    </row>
    <row r="48" spans="1:16">
      <c r="A48" s="430"/>
      <c r="B48" s="21"/>
      <c r="C48" s="21" t="s">
        <v>130</v>
      </c>
      <c r="D48" s="891"/>
      <c r="E48" s="891"/>
      <c r="F48" s="891"/>
      <c r="G48" s="21"/>
      <c r="H48" s="21"/>
      <c r="I48" s="21"/>
      <c r="J48" s="21"/>
      <c r="K48" s="21"/>
      <c r="L48" s="21"/>
      <c r="M48" s="21"/>
      <c r="N48" s="21"/>
      <c r="O48" s="21"/>
      <c r="P48" s="431"/>
    </row>
    <row r="49" spans="1:16" ht="13.5" thickBot="1">
      <c r="A49" s="432"/>
      <c r="B49" s="61"/>
      <c r="C49" s="61"/>
      <c r="D49" s="61"/>
      <c r="E49" s="61"/>
      <c r="F49" s="61"/>
      <c r="G49" s="61"/>
      <c r="H49" s="61"/>
      <c r="I49" s="61"/>
      <c r="J49" s="61"/>
      <c r="K49" s="61"/>
      <c r="L49" s="61"/>
      <c r="M49" s="61"/>
      <c r="N49" s="61"/>
      <c r="O49" s="61"/>
      <c r="P49" s="433"/>
    </row>
    <row r="50" spans="1:16">
      <c r="A50" s="427">
        <v>3</v>
      </c>
      <c r="B50" s="434" t="s">
        <v>59</v>
      </c>
      <c r="C50" s="428"/>
      <c r="D50" s="428"/>
      <c r="E50" s="428"/>
      <c r="F50" s="428"/>
      <c r="G50" s="428"/>
      <c r="H50" s="428"/>
      <c r="I50" s="428"/>
      <c r="J50" s="428"/>
      <c r="K50" s="428"/>
      <c r="L50" s="428"/>
      <c r="M50" s="428"/>
      <c r="N50" s="428"/>
      <c r="O50" s="428"/>
      <c r="P50" s="429"/>
    </row>
    <row r="51" spans="1:16">
      <c r="A51" s="430"/>
      <c r="B51" s="21" t="s">
        <v>56</v>
      </c>
      <c r="C51" s="21"/>
      <c r="D51" s="21"/>
      <c r="E51" s="21"/>
      <c r="F51" s="21"/>
      <c r="G51" s="21"/>
      <c r="H51" s="21"/>
      <c r="I51" s="21"/>
      <c r="J51" s="21"/>
      <c r="K51" s="21"/>
      <c r="L51" s="21"/>
      <c r="M51" s="21"/>
      <c r="N51" s="21"/>
      <c r="O51" s="21"/>
      <c r="P51" s="431"/>
    </row>
    <row r="52" spans="1:16">
      <c r="A52" s="430"/>
      <c r="B52" s="21"/>
      <c r="C52" s="21"/>
      <c r="D52" s="21"/>
      <c r="E52" s="21"/>
      <c r="F52" s="21"/>
      <c r="G52" s="21"/>
      <c r="H52" s="21"/>
      <c r="I52" s="21"/>
      <c r="J52" s="21"/>
      <c r="K52" s="21"/>
      <c r="L52" s="21"/>
      <c r="M52" s="21"/>
      <c r="N52" s="21"/>
      <c r="O52" s="21"/>
      <c r="P52" s="431"/>
    </row>
    <row r="53" spans="1:16">
      <c r="A53" s="430"/>
      <c r="B53" s="21"/>
      <c r="C53" s="21"/>
      <c r="D53" s="21"/>
      <c r="E53" s="21"/>
      <c r="F53" s="21"/>
      <c r="G53" s="21"/>
      <c r="H53" s="21"/>
      <c r="I53" s="21"/>
      <c r="J53" s="21"/>
      <c r="K53" s="21"/>
      <c r="L53" s="21"/>
      <c r="M53" s="21"/>
      <c r="N53" s="21"/>
      <c r="O53" s="21"/>
      <c r="P53" s="431"/>
    </row>
    <row r="54" spans="1:16">
      <c r="A54" s="430"/>
      <c r="B54" s="21"/>
      <c r="C54" s="21"/>
      <c r="D54" s="21"/>
      <c r="E54" s="21"/>
      <c r="F54" s="21"/>
      <c r="G54" s="21"/>
      <c r="H54" s="21"/>
      <c r="I54" s="21"/>
      <c r="J54" s="21"/>
      <c r="K54" s="21"/>
      <c r="L54" s="21"/>
      <c r="M54" s="21"/>
      <c r="N54" s="21"/>
      <c r="O54" s="21"/>
      <c r="P54" s="431"/>
    </row>
    <row r="55" spans="1:16">
      <c r="A55" s="430"/>
      <c r="B55" s="21"/>
      <c r="C55" s="21"/>
      <c r="D55" s="21"/>
      <c r="E55" s="21"/>
      <c r="F55" s="21"/>
      <c r="G55" s="21"/>
      <c r="H55" s="21"/>
      <c r="I55" s="21"/>
      <c r="J55" s="21"/>
      <c r="K55" s="21"/>
      <c r="L55" s="21"/>
      <c r="M55" s="21"/>
      <c r="N55" s="21"/>
      <c r="O55" s="21"/>
      <c r="P55" s="431"/>
    </row>
    <row r="56" spans="1:16">
      <c r="A56" s="430"/>
      <c r="B56" s="21"/>
      <c r="C56" s="21"/>
      <c r="D56" s="21"/>
      <c r="E56" s="21"/>
      <c r="F56" s="21"/>
      <c r="G56" s="21"/>
      <c r="H56" s="21"/>
      <c r="I56" s="21"/>
      <c r="J56" s="21"/>
      <c r="K56" s="21"/>
      <c r="L56" s="21"/>
      <c r="M56" s="21"/>
      <c r="N56" s="21"/>
      <c r="O56" s="21"/>
      <c r="P56" s="431"/>
    </row>
    <row r="57" spans="1:16">
      <c r="A57" s="430"/>
      <c r="B57" s="21"/>
      <c r="C57" s="21"/>
      <c r="D57" s="21"/>
      <c r="E57" s="21"/>
      <c r="F57" s="21"/>
      <c r="G57" s="21"/>
      <c r="H57" s="21"/>
      <c r="I57" s="21"/>
      <c r="J57" s="21"/>
      <c r="K57" s="21"/>
      <c r="L57" s="21"/>
      <c r="M57" s="21"/>
      <c r="N57" s="21"/>
      <c r="O57" s="21"/>
      <c r="P57" s="431"/>
    </row>
    <row r="58" spans="1:16">
      <c r="A58" s="430"/>
      <c r="B58" s="21"/>
      <c r="C58" s="21"/>
      <c r="D58" s="21"/>
      <c r="E58" s="21"/>
      <c r="F58" s="21"/>
      <c r="G58" s="21"/>
      <c r="H58" s="21"/>
      <c r="I58" s="21"/>
      <c r="J58" s="21"/>
      <c r="K58" s="21"/>
      <c r="L58" s="21"/>
      <c r="M58" s="21"/>
      <c r="N58" s="21"/>
      <c r="O58" s="21"/>
      <c r="P58" s="431"/>
    </row>
    <row r="59" spans="1:16" ht="13.15" customHeight="1">
      <c r="A59" s="430"/>
      <c r="B59" s="21"/>
      <c r="C59" s="21"/>
      <c r="D59" s="21"/>
      <c r="E59" s="21"/>
      <c r="F59" s="21"/>
      <c r="G59" s="21"/>
      <c r="H59" s="21"/>
      <c r="I59" s="21"/>
      <c r="J59" s="21"/>
      <c r="K59" s="21"/>
      <c r="L59" s="21"/>
      <c r="M59" s="21"/>
      <c r="N59" s="21"/>
      <c r="O59" s="21"/>
      <c r="P59" s="431"/>
    </row>
    <row r="60" spans="1:16">
      <c r="A60" s="430"/>
      <c r="B60" s="1046" t="s">
        <v>58</v>
      </c>
      <c r="C60" s="1046"/>
      <c r="D60" s="1046"/>
      <c r="E60" s="1046"/>
      <c r="F60" s="1046"/>
      <c r="G60" s="21"/>
      <c r="H60" s="21"/>
      <c r="I60" s="21"/>
      <c r="J60" s="21"/>
      <c r="K60" s="21"/>
      <c r="L60" s="21"/>
      <c r="M60" s="21"/>
      <c r="N60" s="21" t="s">
        <v>57</v>
      </c>
      <c r="O60" s="21"/>
      <c r="P60" s="431"/>
    </row>
    <row r="61" spans="1:16">
      <c r="A61" s="430"/>
      <c r="B61" s="1046"/>
      <c r="C61" s="1046"/>
      <c r="D61" s="1046"/>
      <c r="E61" s="1046"/>
      <c r="F61" s="1046"/>
      <c r="G61" s="21"/>
      <c r="H61" s="21"/>
      <c r="I61" s="21"/>
      <c r="J61" s="21"/>
      <c r="K61" s="21"/>
      <c r="L61" s="21"/>
      <c r="M61" s="21"/>
      <c r="N61" s="21"/>
      <c r="O61" s="21"/>
      <c r="P61" s="431"/>
    </row>
    <row r="62" spans="1:16">
      <c r="A62" s="430"/>
      <c r="B62" s="1046"/>
      <c r="C62" s="1046"/>
      <c r="D62" s="1046"/>
      <c r="E62" s="1046"/>
      <c r="F62" s="1046"/>
      <c r="G62" s="21"/>
      <c r="H62" s="21"/>
      <c r="I62" s="21"/>
      <c r="J62" s="21"/>
      <c r="K62" s="21"/>
      <c r="L62" s="21"/>
      <c r="M62" s="21"/>
      <c r="N62" s="21"/>
      <c r="O62" s="21"/>
      <c r="P62" s="431"/>
    </row>
    <row r="63" spans="1:16" ht="13.5" thickBot="1">
      <c r="A63" s="432"/>
      <c r="B63" s="61"/>
      <c r="C63" s="61"/>
      <c r="D63" s="61"/>
      <c r="E63" s="61"/>
      <c r="F63" s="61"/>
      <c r="G63" s="61"/>
      <c r="H63" s="61"/>
      <c r="I63" s="61"/>
      <c r="J63" s="61"/>
      <c r="K63" s="61"/>
      <c r="L63" s="61"/>
      <c r="M63" s="61"/>
      <c r="N63" s="61"/>
      <c r="O63" s="61"/>
      <c r="P63" s="433"/>
    </row>
    <row r="64" spans="1:16">
      <c r="A64" s="427"/>
      <c r="B64" s="428"/>
      <c r="C64" s="428"/>
      <c r="D64" s="428"/>
      <c r="E64" s="428"/>
      <c r="F64" s="428"/>
      <c r="G64" s="428"/>
      <c r="H64" s="428"/>
      <c r="I64" s="428"/>
      <c r="J64" s="428"/>
      <c r="K64" s="428"/>
      <c r="L64" s="428"/>
      <c r="M64" s="428"/>
      <c r="N64" s="428"/>
      <c r="O64" s="428"/>
      <c r="P64" s="429"/>
    </row>
    <row r="65" spans="1:16">
      <c r="A65" s="430">
        <v>4</v>
      </c>
      <c r="B65" s="435" t="s">
        <v>104</v>
      </c>
      <c r="C65" s="21"/>
      <c r="D65" s="21"/>
      <c r="E65" s="21"/>
      <c r="F65" s="21"/>
      <c r="G65" s="21"/>
      <c r="H65" s="21"/>
      <c r="I65" s="21"/>
      <c r="J65" s="21"/>
      <c r="K65" s="21"/>
      <c r="L65" s="21"/>
      <c r="M65" s="21"/>
      <c r="N65" s="21"/>
      <c r="O65" s="21"/>
      <c r="P65" s="431"/>
    </row>
    <row r="66" spans="1:16">
      <c r="A66" s="430"/>
      <c r="B66" s="21"/>
      <c r="C66" s="21"/>
      <c r="D66" s="21"/>
      <c r="E66" s="21"/>
      <c r="F66" s="21"/>
      <c r="G66" s="21" t="s">
        <v>105</v>
      </c>
      <c r="H66" s="21"/>
      <c r="I66" s="21"/>
      <c r="J66" s="21"/>
      <c r="K66" s="21"/>
      <c r="L66" s="21"/>
      <c r="M66" s="21"/>
      <c r="N66" s="21"/>
      <c r="O66" s="21"/>
      <c r="P66" s="431"/>
    </row>
    <row r="67" spans="1:16" ht="13.5" thickBot="1">
      <c r="A67" s="430"/>
      <c r="B67" s="21"/>
      <c r="C67" s="21"/>
      <c r="D67" s="21"/>
      <c r="E67" s="21"/>
      <c r="F67" s="21"/>
      <c r="G67" s="21" t="s">
        <v>106</v>
      </c>
      <c r="H67" s="21"/>
      <c r="I67" s="21"/>
      <c r="J67" s="21"/>
      <c r="K67" s="21"/>
      <c r="L67" s="21"/>
      <c r="M67" s="21"/>
      <c r="N67" s="21"/>
      <c r="O67" s="21"/>
      <c r="P67" s="431"/>
    </row>
    <row r="68" spans="1:16">
      <c r="A68" s="430"/>
      <c r="B68" s="21"/>
      <c r="C68" s="21"/>
      <c r="D68" s="21"/>
      <c r="E68" s="21"/>
      <c r="F68" s="21"/>
      <c r="G68" s="1030" t="s">
        <v>107</v>
      </c>
      <c r="H68" s="1031"/>
      <c r="I68" s="1031"/>
      <c r="J68" s="1031"/>
      <c r="K68" s="1031"/>
      <c r="L68" s="1031"/>
      <c r="M68" s="1031"/>
      <c r="N68" s="1031"/>
      <c r="O68" s="1031"/>
      <c r="P68" s="1032"/>
    </row>
    <row r="69" spans="1:16" ht="13.5" thickBot="1">
      <c r="A69" s="430"/>
      <c r="B69" s="21"/>
      <c r="C69" s="21"/>
      <c r="D69" s="21"/>
      <c r="E69" s="21"/>
      <c r="F69" s="21"/>
      <c r="G69" s="1027" t="s">
        <v>108</v>
      </c>
      <c r="H69" s="1028"/>
      <c r="I69" s="1028"/>
      <c r="J69" s="1028"/>
      <c r="K69" s="1028"/>
      <c r="L69" s="1028"/>
      <c r="M69" s="1028"/>
      <c r="N69" s="1028"/>
      <c r="O69" s="1028"/>
      <c r="P69" s="1029"/>
    </row>
    <row r="70" spans="1:16">
      <c r="A70" s="430"/>
      <c r="B70" s="21"/>
      <c r="C70" s="21"/>
      <c r="D70" s="21"/>
      <c r="E70" s="21"/>
      <c r="F70" s="21"/>
      <c r="G70" s="1030" t="s">
        <v>109</v>
      </c>
      <c r="H70" s="1031"/>
      <c r="I70" s="1031"/>
      <c r="J70" s="1031"/>
      <c r="K70" s="1031"/>
      <c r="L70" s="1031"/>
      <c r="M70" s="1031"/>
      <c r="N70" s="1031"/>
      <c r="O70" s="1031"/>
      <c r="P70" s="1032"/>
    </row>
    <row r="71" spans="1:16" ht="13.5" thickBot="1">
      <c r="A71" s="430"/>
      <c r="B71" s="21"/>
      <c r="C71" s="21"/>
      <c r="D71" s="21"/>
      <c r="E71" s="21"/>
      <c r="F71" s="21"/>
      <c r="G71" s="1027" t="s">
        <v>110</v>
      </c>
      <c r="H71" s="1028"/>
      <c r="I71" s="1028"/>
      <c r="J71" s="1028"/>
      <c r="K71" s="1028"/>
      <c r="L71" s="1028"/>
      <c r="M71" s="1028"/>
      <c r="N71" s="1028"/>
      <c r="O71" s="1028"/>
      <c r="P71" s="1029"/>
    </row>
    <row r="72" spans="1:16">
      <c r="A72" s="430"/>
      <c r="B72" s="21"/>
      <c r="C72" s="21"/>
      <c r="D72" s="21"/>
      <c r="E72" s="21"/>
      <c r="F72" s="21"/>
      <c r="G72" s="1030" t="s">
        <v>111</v>
      </c>
      <c r="H72" s="1031"/>
      <c r="I72" s="1031"/>
      <c r="J72" s="1031"/>
      <c r="K72" s="1031"/>
      <c r="L72" s="1031"/>
      <c r="M72" s="1031"/>
      <c r="N72" s="1031"/>
      <c r="O72" s="1031"/>
      <c r="P72" s="1032"/>
    </row>
    <row r="73" spans="1:16" ht="13.5" thickBot="1">
      <c r="A73" s="430"/>
      <c r="B73" s="21"/>
      <c r="C73" s="21"/>
      <c r="D73" s="21"/>
      <c r="E73" s="21"/>
      <c r="F73" s="21"/>
      <c r="G73" s="1027" t="s">
        <v>112</v>
      </c>
      <c r="H73" s="1028"/>
      <c r="I73" s="1028"/>
      <c r="J73" s="1028"/>
      <c r="K73" s="1028"/>
      <c r="L73" s="1028"/>
      <c r="M73" s="1028"/>
      <c r="N73" s="1028"/>
      <c r="O73" s="1028"/>
      <c r="P73" s="1029"/>
    </row>
    <row r="74" spans="1:16">
      <c r="A74" s="430"/>
      <c r="B74" s="21"/>
      <c r="C74" s="21"/>
      <c r="D74" s="21"/>
      <c r="E74" s="21"/>
      <c r="F74" s="21"/>
      <c r="G74" s="1030" t="s">
        <v>113</v>
      </c>
      <c r="H74" s="1031"/>
      <c r="I74" s="1031"/>
      <c r="J74" s="1031"/>
      <c r="K74" s="1031"/>
      <c r="L74" s="1031"/>
      <c r="M74" s="1031"/>
      <c r="N74" s="1031"/>
      <c r="O74" s="1031"/>
      <c r="P74" s="1032"/>
    </row>
    <row r="75" spans="1:16" ht="13.5" thickBot="1">
      <c r="A75" s="430"/>
      <c r="B75" s="21"/>
      <c r="C75" s="21"/>
      <c r="D75" s="21"/>
      <c r="E75" s="21"/>
      <c r="F75" s="21"/>
      <c r="G75" s="1027" t="s">
        <v>159</v>
      </c>
      <c r="H75" s="1028"/>
      <c r="I75" s="1028"/>
      <c r="J75" s="1028"/>
      <c r="K75" s="1028"/>
      <c r="L75" s="1028"/>
      <c r="M75" s="1028"/>
      <c r="N75" s="1028"/>
      <c r="O75" s="1028"/>
      <c r="P75" s="1029"/>
    </row>
    <row r="76" spans="1:16">
      <c r="A76" s="430"/>
      <c r="B76" s="21"/>
      <c r="C76" s="21"/>
      <c r="D76" s="21"/>
      <c r="E76" s="21"/>
      <c r="F76" s="21"/>
      <c r="G76" s="21"/>
      <c r="H76" s="21"/>
      <c r="I76" s="21"/>
      <c r="J76" s="21"/>
      <c r="K76" s="21"/>
      <c r="L76" s="21"/>
      <c r="M76" s="21"/>
      <c r="N76" s="21"/>
      <c r="O76" s="21"/>
      <c r="P76" s="431"/>
    </row>
    <row r="77" spans="1:16">
      <c r="A77" s="430"/>
      <c r="B77" s="21"/>
      <c r="C77" s="21"/>
      <c r="D77" s="21"/>
      <c r="E77" s="21"/>
      <c r="F77" s="21"/>
      <c r="G77" s="21" t="s">
        <v>161</v>
      </c>
      <c r="H77" s="21"/>
      <c r="I77" s="21"/>
      <c r="J77" s="21"/>
      <c r="K77" s="21"/>
      <c r="L77" s="21"/>
      <c r="M77" s="21"/>
      <c r="N77" s="21"/>
      <c r="O77" s="21"/>
      <c r="P77" s="431"/>
    </row>
    <row r="78" spans="1:16">
      <c r="A78" s="430"/>
      <c r="B78" s="21"/>
      <c r="C78" s="21"/>
      <c r="D78" s="21"/>
      <c r="E78" s="21"/>
      <c r="F78" s="21"/>
      <c r="G78" s="21" t="s">
        <v>160</v>
      </c>
      <c r="H78" s="21"/>
      <c r="I78" s="21"/>
      <c r="J78" s="21"/>
      <c r="K78" s="21"/>
      <c r="L78" s="21"/>
      <c r="M78" s="21"/>
      <c r="N78" s="21"/>
      <c r="O78" s="21"/>
      <c r="P78" s="431"/>
    </row>
    <row r="79" spans="1:16">
      <c r="A79" s="430"/>
      <c r="B79" s="21"/>
      <c r="C79" s="21"/>
      <c r="D79" s="21"/>
      <c r="E79" s="21"/>
      <c r="F79" s="21"/>
      <c r="H79" s="21"/>
      <c r="I79" s="21"/>
      <c r="J79" s="21"/>
      <c r="K79" s="21"/>
      <c r="L79" s="21"/>
      <c r="M79" s="21"/>
      <c r="N79" s="21"/>
      <c r="O79" s="21"/>
      <c r="P79" s="431"/>
    </row>
    <row r="80" spans="1:16" ht="13.15" customHeight="1">
      <c r="A80" s="430"/>
      <c r="B80" s="21"/>
      <c r="C80" s="21"/>
      <c r="D80" s="21"/>
      <c r="E80" s="21" t="s">
        <v>162</v>
      </c>
      <c r="F80" s="21"/>
      <c r="G80" s="1033" t="s">
        <v>163</v>
      </c>
      <c r="H80" s="1033"/>
      <c r="I80" s="1033"/>
      <c r="J80" s="1033"/>
      <c r="K80" s="1033"/>
      <c r="L80" s="1033"/>
      <c r="M80" s="1033"/>
      <c r="N80" s="1033"/>
      <c r="O80" s="1033"/>
      <c r="P80" s="1034"/>
    </row>
    <row r="81" spans="1:16">
      <c r="A81" s="430"/>
      <c r="B81" s="21"/>
      <c r="C81" s="21"/>
      <c r="D81" s="21"/>
      <c r="E81" s="21"/>
      <c r="F81" s="21"/>
      <c r="G81" s="1033"/>
      <c r="H81" s="1033"/>
      <c r="I81" s="1033"/>
      <c r="J81" s="1033"/>
      <c r="K81" s="1033"/>
      <c r="L81" s="1033"/>
      <c r="M81" s="1033"/>
      <c r="N81" s="1033"/>
      <c r="O81" s="1033"/>
      <c r="P81" s="1034"/>
    </row>
    <row r="82" spans="1:16">
      <c r="A82" s="430"/>
      <c r="B82" s="21"/>
      <c r="C82" s="21"/>
      <c r="D82" s="21"/>
      <c r="E82" s="21"/>
      <c r="F82" s="21"/>
      <c r="G82" s="1033"/>
      <c r="H82" s="1033"/>
      <c r="I82" s="1033"/>
      <c r="J82" s="1033"/>
      <c r="K82" s="1033"/>
      <c r="L82" s="1033"/>
      <c r="M82" s="1033"/>
      <c r="N82" s="1033"/>
      <c r="O82" s="1033"/>
      <c r="P82" s="1034"/>
    </row>
    <row r="83" spans="1:16">
      <c r="A83" s="430"/>
      <c r="B83" s="21"/>
      <c r="C83" s="21"/>
      <c r="D83" s="21"/>
      <c r="E83" s="21"/>
      <c r="F83" s="21"/>
      <c r="G83" s="1033"/>
      <c r="H83" s="1033"/>
      <c r="I83" s="1033"/>
      <c r="J83" s="1033"/>
      <c r="K83" s="1033"/>
      <c r="L83" s="1033"/>
      <c r="M83" s="1033"/>
      <c r="N83" s="1033"/>
      <c r="O83" s="1033"/>
      <c r="P83" s="1034"/>
    </row>
    <row r="84" spans="1:16">
      <c r="A84" s="430"/>
      <c r="B84" s="21"/>
      <c r="C84" s="21"/>
      <c r="D84" s="21"/>
      <c r="E84" s="21"/>
      <c r="F84" s="438"/>
      <c r="G84" s="502"/>
      <c r="H84" s="502"/>
      <c r="I84" s="502"/>
      <c r="J84" s="502"/>
      <c r="K84" s="502"/>
      <c r="L84" s="502"/>
      <c r="M84" s="502"/>
      <c r="N84" s="502"/>
      <c r="O84" s="502"/>
      <c r="P84" s="503"/>
    </row>
    <row r="85" spans="1:16">
      <c r="A85" s="430"/>
      <c r="B85" s="21"/>
      <c r="C85" s="21"/>
      <c r="D85" s="21"/>
      <c r="E85" s="21"/>
      <c r="F85" s="435" t="s">
        <v>164</v>
      </c>
      <c r="G85" s="1037" t="s">
        <v>295</v>
      </c>
      <c r="H85" s="1037"/>
      <c r="I85" s="1037"/>
      <c r="J85" s="1037"/>
      <c r="K85" s="1037"/>
      <c r="L85" s="1037"/>
      <c r="M85" s="1037"/>
      <c r="N85" s="1037"/>
      <c r="O85" s="1037"/>
      <c r="P85" s="1034"/>
    </row>
    <row r="86" spans="1:16">
      <c r="A86" s="430"/>
      <c r="B86" s="21"/>
      <c r="C86" s="21"/>
      <c r="D86" s="21"/>
      <c r="E86" s="21"/>
      <c r="F86" s="21"/>
      <c r="G86" s="1037"/>
      <c r="H86" s="1037"/>
      <c r="I86" s="1037"/>
      <c r="J86" s="1037"/>
      <c r="K86" s="1037"/>
      <c r="L86" s="1037"/>
      <c r="M86" s="1037"/>
      <c r="N86" s="1037"/>
      <c r="O86" s="1037"/>
      <c r="P86" s="1034"/>
    </row>
    <row r="87" spans="1:16">
      <c r="A87" s="430"/>
      <c r="B87" s="21"/>
      <c r="C87" s="21"/>
      <c r="D87" s="21"/>
      <c r="E87" s="21"/>
      <c r="F87" s="21"/>
      <c r="G87" s="1037"/>
      <c r="H87" s="1037"/>
      <c r="I87" s="1037"/>
      <c r="J87" s="1037"/>
      <c r="K87" s="1037"/>
      <c r="L87" s="1037"/>
      <c r="M87" s="1037"/>
      <c r="N87" s="1037"/>
      <c r="O87" s="1037"/>
      <c r="P87" s="1034"/>
    </row>
    <row r="88" spans="1:16" ht="13.5" thickBot="1">
      <c r="A88" s="432"/>
      <c r="B88" s="61"/>
      <c r="C88" s="61"/>
      <c r="D88" s="61"/>
      <c r="E88" s="61"/>
      <c r="F88" s="61"/>
      <c r="G88" s="1038"/>
      <c r="H88" s="1038"/>
      <c r="I88" s="1038"/>
      <c r="J88" s="1038"/>
      <c r="K88" s="1038"/>
      <c r="L88" s="1038"/>
      <c r="M88" s="1038"/>
      <c r="N88" s="1038"/>
      <c r="O88" s="1038"/>
      <c r="P88" s="1039"/>
    </row>
    <row r="89" spans="1:16">
      <c r="A89" s="427">
        <v>5</v>
      </c>
      <c r="B89" s="434" t="s">
        <v>114</v>
      </c>
      <c r="C89" s="428"/>
      <c r="D89" s="428"/>
      <c r="E89" s="428"/>
      <c r="F89" s="428"/>
      <c r="G89" s="428"/>
      <c r="H89" s="428"/>
      <c r="I89" s="428"/>
      <c r="J89" s="428"/>
      <c r="K89" s="428"/>
      <c r="L89" s="428"/>
      <c r="M89" s="428"/>
      <c r="N89" s="428"/>
      <c r="O89" s="428"/>
      <c r="P89" s="429"/>
    </row>
    <row r="90" spans="1:16">
      <c r="A90" s="430"/>
      <c r="B90" s="21"/>
      <c r="C90" s="21"/>
      <c r="D90" s="21"/>
      <c r="E90" s="21"/>
      <c r="F90" s="21"/>
      <c r="G90" s="21"/>
      <c r="H90" s="21"/>
      <c r="I90" s="21"/>
      <c r="J90" s="21"/>
      <c r="K90" s="21"/>
      <c r="L90" s="21"/>
      <c r="M90" s="21"/>
      <c r="N90" s="21"/>
      <c r="O90" s="21"/>
      <c r="P90" s="431"/>
    </row>
    <row r="91" spans="1:16">
      <c r="A91" s="430"/>
      <c r="B91" s="21"/>
      <c r="C91" s="21"/>
      <c r="D91" s="21"/>
      <c r="E91" s="21"/>
      <c r="F91" s="21"/>
      <c r="G91" s="21"/>
      <c r="H91" s="21"/>
      <c r="I91" s="21"/>
      <c r="J91" s="21"/>
      <c r="K91" s="21"/>
      <c r="L91" s="21"/>
      <c r="M91" s="21"/>
      <c r="N91" s="21"/>
      <c r="O91" s="21"/>
      <c r="P91" s="431"/>
    </row>
    <row r="92" spans="1:16">
      <c r="A92" s="430"/>
      <c r="B92" s="21"/>
      <c r="C92" s="21"/>
      <c r="D92" s="21"/>
      <c r="E92" s="21"/>
      <c r="F92" s="21"/>
      <c r="G92" s="1035" t="s">
        <v>115</v>
      </c>
      <c r="H92" s="1035"/>
      <c r="I92" s="1035"/>
      <c r="J92" s="1035"/>
      <c r="K92" s="1035"/>
      <c r="L92" s="1035"/>
      <c r="M92" s="1035"/>
      <c r="N92" s="1035"/>
      <c r="O92" s="1035"/>
      <c r="P92" s="1036"/>
    </row>
    <row r="93" spans="1:16">
      <c r="A93" s="430"/>
      <c r="B93" s="21"/>
      <c r="C93" s="21"/>
      <c r="D93" s="21"/>
      <c r="E93" s="21"/>
      <c r="F93" s="21"/>
      <c r="G93" s="1035"/>
      <c r="H93" s="1035"/>
      <c r="I93" s="1035"/>
      <c r="J93" s="1035"/>
      <c r="K93" s="1035"/>
      <c r="L93" s="1035"/>
      <c r="M93" s="1035"/>
      <c r="N93" s="1035"/>
      <c r="O93" s="1035"/>
      <c r="P93" s="1036"/>
    </row>
    <row r="94" spans="1:16">
      <c r="A94" s="430"/>
      <c r="B94" s="21"/>
      <c r="C94" s="21"/>
      <c r="D94" s="21"/>
      <c r="E94" s="21"/>
      <c r="F94" s="21"/>
      <c r="G94" s="21" t="s">
        <v>116</v>
      </c>
      <c r="H94" s="436"/>
      <c r="I94" s="436"/>
      <c r="J94" s="436"/>
      <c r="K94" s="436"/>
      <c r="L94" s="436"/>
      <c r="M94" s="436"/>
      <c r="N94" s="436"/>
      <c r="O94" s="436"/>
      <c r="P94" s="437"/>
    </row>
    <row r="95" spans="1:16">
      <c r="A95" s="430"/>
      <c r="B95" s="21"/>
      <c r="C95" s="21"/>
      <c r="D95" s="21"/>
      <c r="E95" s="21"/>
      <c r="F95" s="21"/>
      <c r="G95" s="21" t="s">
        <v>117</v>
      </c>
      <c r="H95" s="436"/>
      <c r="I95" s="436"/>
      <c r="J95" s="436"/>
      <c r="K95" s="436"/>
      <c r="L95" s="436"/>
      <c r="M95" s="436"/>
      <c r="N95" s="436"/>
      <c r="O95" s="436"/>
      <c r="P95" s="437"/>
    </row>
    <row r="96" spans="1:16">
      <c r="A96" s="430"/>
      <c r="B96" s="21"/>
      <c r="C96" s="21"/>
      <c r="D96" s="21"/>
      <c r="E96" s="21"/>
      <c r="F96" s="21"/>
      <c r="G96" s="436"/>
      <c r="H96" s="436"/>
      <c r="I96" s="436"/>
      <c r="J96" s="436"/>
      <c r="K96" s="436"/>
      <c r="L96" s="436"/>
      <c r="M96" s="436"/>
      <c r="N96" s="436"/>
      <c r="O96" s="436"/>
      <c r="P96" s="437"/>
    </row>
    <row r="97" spans="1:16">
      <c r="A97" s="430"/>
      <c r="B97" s="21"/>
      <c r="C97" s="21"/>
      <c r="D97" s="21"/>
      <c r="E97" s="21"/>
      <c r="F97" s="21"/>
      <c r="G97" s="436" t="s">
        <v>118</v>
      </c>
      <c r="H97" s="436"/>
      <c r="I97" s="436"/>
      <c r="J97" s="436"/>
      <c r="K97" s="436"/>
      <c r="L97" s="436"/>
      <c r="M97" s="436"/>
      <c r="N97" s="436"/>
      <c r="O97" s="436"/>
      <c r="P97" s="437"/>
    </row>
    <row r="98" spans="1:16">
      <c r="A98" s="430"/>
      <c r="B98" s="21"/>
      <c r="C98" s="21"/>
      <c r="D98" s="21"/>
      <c r="E98" s="21"/>
      <c r="F98" s="21"/>
      <c r="G98" s="21" t="s">
        <v>119</v>
      </c>
      <c r="H98" s="21"/>
      <c r="I98" s="21"/>
      <c r="J98" s="21"/>
      <c r="K98" s="21"/>
      <c r="L98" s="21"/>
      <c r="M98" s="21"/>
      <c r="N98" s="21"/>
      <c r="O98" s="21"/>
      <c r="P98" s="431"/>
    </row>
    <row r="99" spans="1:16">
      <c r="A99" s="430"/>
      <c r="B99" s="21"/>
      <c r="C99" s="21"/>
      <c r="D99" s="21"/>
      <c r="E99" s="21"/>
      <c r="F99" s="21"/>
      <c r="G99" s="21"/>
      <c r="H99" s="21"/>
      <c r="I99" s="21"/>
      <c r="J99" s="21"/>
      <c r="K99" s="21"/>
      <c r="L99" s="21"/>
      <c r="M99" s="21"/>
      <c r="N99" s="21"/>
      <c r="O99" s="21"/>
      <c r="P99" s="431"/>
    </row>
    <row r="100" spans="1:16">
      <c r="A100" s="430"/>
      <c r="B100" s="21"/>
      <c r="C100" s="21"/>
      <c r="D100" s="21"/>
      <c r="E100" s="21"/>
      <c r="F100" s="21"/>
      <c r="G100" s="21" t="s">
        <v>120</v>
      </c>
      <c r="H100" s="21"/>
      <c r="I100" s="21"/>
      <c r="J100" s="21"/>
      <c r="K100" s="21"/>
      <c r="L100" s="21"/>
      <c r="M100" s="21"/>
      <c r="N100" s="21"/>
      <c r="O100" s="21"/>
      <c r="P100" s="431"/>
    </row>
    <row r="101" spans="1:16">
      <c r="A101" s="430"/>
      <c r="B101" s="21"/>
      <c r="C101" s="21"/>
      <c r="D101" s="21"/>
      <c r="E101" s="21"/>
      <c r="F101" s="21"/>
      <c r="G101" s="21" t="s">
        <v>296</v>
      </c>
      <c r="H101" s="21"/>
      <c r="I101" s="21"/>
      <c r="J101" s="21"/>
      <c r="K101" s="21"/>
      <c r="L101" s="21"/>
      <c r="M101" s="21"/>
      <c r="N101" s="21"/>
      <c r="O101" s="21"/>
      <c r="P101" s="431"/>
    </row>
    <row r="102" spans="1:16">
      <c r="A102" s="430"/>
      <c r="B102" s="21"/>
      <c r="C102" s="21"/>
      <c r="D102" s="21"/>
      <c r="E102" s="21"/>
      <c r="F102" s="21"/>
      <c r="G102" s="21"/>
      <c r="H102" s="21"/>
      <c r="I102" s="21"/>
      <c r="J102" s="21"/>
      <c r="K102" s="21"/>
      <c r="L102" s="21"/>
      <c r="M102" s="21"/>
      <c r="N102" s="21"/>
      <c r="O102" s="21"/>
      <c r="P102" s="431"/>
    </row>
    <row r="103" spans="1:16">
      <c r="A103" s="430"/>
      <c r="B103" s="21"/>
      <c r="C103" s="21"/>
      <c r="D103" s="21"/>
      <c r="E103" s="21"/>
      <c r="F103" s="21"/>
      <c r="G103" s="1026" t="s">
        <v>121</v>
      </c>
      <c r="H103" s="1026"/>
      <c r="I103" s="1026"/>
      <c r="J103" s="1026"/>
      <c r="K103" s="1026"/>
      <c r="L103" s="1026"/>
      <c r="M103" s="1026"/>
      <c r="N103" s="1026"/>
      <c r="O103" s="1026"/>
      <c r="P103" s="431"/>
    </row>
    <row r="104" spans="1:16">
      <c r="A104" s="430"/>
      <c r="B104" s="21"/>
      <c r="C104" s="21"/>
      <c r="D104" s="21"/>
      <c r="E104" s="21"/>
      <c r="F104" s="21"/>
      <c r="G104" s="1026"/>
      <c r="H104" s="1026"/>
      <c r="I104" s="1026"/>
      <c r="J104" s="1026"/>
      <c r="K104" s="1026"/>
      <c r="L104" s="1026"/>
      <c r="M104" s="1026"/>
      <c r="N104" s="1026"/>
      <c r="O104" s="1026"/>
      <c r="P104" s="431"/>
    </row>
    <row r="105" spans="1:16">
      <c r="A105" s="430"/>
      <c r="B105" s="21"/>
      <c r="C105" s="21"/>
      <c r="D105" s="21"/>
      <c r="E105" s="21"/>
      <c r="F105" s="21"/>
      <c r="G105" s="21" t="s">
        <v>297</v>
      </c>
      <c r="H105" s="21"/>
      <c r="I105" s="21"/>
      <c r="J105" s="21"/>
      <c r="K105" s="21"/>
      <c r="L105" s="21"/>
      <c r="M105" s="21"/>
      <c r="N105" s="21"/>
      <c r="O105" s="21"/>
      <c r="P105" s="431"/>
    </row>
    <row r="106" spans="1:16">
      <c r="A106" s="430"/>
      <c r="B106" s="21"/>
      <c r="C106" s="21"/>
      <c r="D106" s="21"/>
      <c r="E106" s="21"/>
      <c r="F106" s="21"/>
      <c r="G106" s="21"/>
      <c r="H106" s="21"/>
      <c r="I106" s="21"/>
      <c r="J106" s="21"/>
      <c r="K106" s="21"/>
      <c r="L106" s="21"/>
      <c r="M106" s="21"/>
      <c r="N106" s="21"/>
      <c r="O106" s="21"/>
      <c r="P106" s="431"/>
    </row>
    <row r="107" spans="1:16">
      <c r="A107" s="430"/>
      <c r="B107" s="21"/>
      <c r="C107" s="21"/>
      <c r="D107" s="21"/>
      <c r="E107" s="21"/>
      <c r="F107" s="21"/>
      <c r="G107" s="21"/>
      <c r="H107" s="21"/>
      <c r="I107" s="21"/>
      <c r="J107" s="21"/>
      <c r="K107" s="21"/>
      <c r="L107" s="21"/>
      <c r="M107" s="21"/>
      <c r="N107" s="21"/>
      <c r="O107" s="21"/>
      <c r="P107" s="431"/>
    </row>
    <row r="108" spans="1:16">
      <c r="A108" s="430"/>
      <c r="B108" s="21"/>
      <c r="C108" s="21"/>
      <c r="D108" s="21"/>
      <c r="E108" s="21"/>
      <c r="F108" s="21"/>
      <c r="G108" s="21"/>
      <c r="H108" s="21"/>
      <c r="I108" s="21"/>
      <c r="J108" s="21"/>
      <c r="K108" s="21"/>
      <c r="L108" s="21"/>
      <c r="M108" s="21"/>
      <c r="N108" s="21"/>
      <c r="O108" s="21"/>
      <c r="P108" s="431"/>
    </row>
    <row r="109" spans="1:16">
      <c r="A109" s="430"/>
      <c r="B109" s="21"/>
      <c r="C109" s="21"/>
      <c r="D109" s="21"/>
      <c r="E109" s="21"/>
      <c r="F109" s="21"/>
      <c r="G109" s="21"/>
      <c r="H109" s="21"/>
      <c r="I109" s="21"/>
      <c r="J109" s="21"/>
      <c r="K109" s="21"/>
      <c r="L109" s="21"/>
      <c r="M109" s="21"/>
      <c r="N109" s="21"/>
      <c r="O109" s="21"/>
      <c r="P109" s="431"/>
    </row>
    <row r="110" spans="1:16">
      <c r="A110" s="430"/>
      <c r="B110" s="21"/>
      <c r="C110" s="21"/>
      <c r="D110" s="21"/>
      <c r="E110" s="21"/>
      <c r="F110" s="21"/>
      <c r="G110" s="21"/>
      <c r="H110" s="21"/>
      <c r="I110" s="21"/>
      <c r="J110" s="21"/>
      <c r="K110" s="21"/>
      <c r="L110" s="21"/>
      <c r="M110" s="21"/>
      <c r="N110" s="21"/>
      <c r="O110" s="21"/>
      <c r="P110" s="431"/>
    </row>
    <row r="111" spans="1:16">
      <c r="A111" s="430"/>
      <c r="B111" s="21"/>
      <c r="C111" s="21"/>
      <c r="D111" s="21"/>
      <c r="E111" s="21"/>
      <c r="F111" s="21"/>
      <c r="G111" s="21"/>
      <c r="H111" s="21"/>
      <c r="I111" s="21"/>
      <c r="J111" s="21"/>
      <c r="K111" s="21"/>
      <c r="L111" s="21"/>
      <c r="M111" s="21"/>
      <c r="N111" s="21"/>
      <c r="O111" s="21"/>
      <c r="P111" s="431"/>
    </row>
    <row r="112" spans="1:16">
      <c r="A112" s="430"/>
      <c r="B112" s="21"/>
      <c r="C112" s="21"/>
      <c r="D112" s="21"/>
      <c r="E112" s="21"/>
      <c r="F112" s="21"/>
      <c r="G112" s="21"/>
      <c r="H112" s="21"/>
      <c r="I112" s="21"/>
      <c r="J112" s="21"/>
      <c r="K112" s="21"/>
      <c r="L112" s="21"/>
      <c r="M112" s="21"/>
      <c r="N112" s="21"/>
      <c r="O112" s="21"/>
      <c r="P112" s="431"/>
    </row>
    <row r="113" spans="1:16">
      <c r="A113" s="430"/>
      <c r="B113" s="21"/>
      <c r="C113" s="21"/>
      <c r="D113" s="21"/>
      <c r="E113" s="21"/>
      <c r="F113" s="21"/>
      <c r="G113" s="21"/>
      <c r="H113" s="21"/>
      <c r="I113" s="21"/>
      <c r="J113" s="21"/>
      <c r="K113" s="21"/>
      <c r="L113" s="21"/>
      <c r="M113" s="21"/>
      <c r="N113" s="21"/>
      <c r="O113" s="21"/>
      <c r="P113" s="431"/>
    </row>
    <row r="114" spans="1:16">
      <c r="A114" s="430"/>
      <c r="B114" s="21"/>
      <c r="C114" s="21"/>
      <c r="D114" s="21"/>
      <c r="E114" s="21"/>
      <c r="F114" s="21"/>
      <c r="G114" s="21"/>
      <c r="H114" s="21"/>
      <c r="I114" s="21"/>
      <c r="J114" s="21"/>
      <c r="K114" s="21"/>
      <c r="L114" s="21"/>
      <c r="M114" s="21"/>
      <c r="N114" s="21"/>
      <c r="O114" s="21"/>
      <c r="P114" s="431"/>
    </row>
    <row r="115" spans="1:16">
      <c r="A115" s="430"/>
      <c r="B115" s="21"/>
      <c r="C115" s="21" t="s">
        <v>122</v>
      </c>
      <c r="D115" s="21"/>
      <c r="E115" s="21"/>
      <c r="F115" s="21"/>
      <c r="G115" s="21"/>
      <c r="H115" s="21"/>
      <c r="I115" s="21"/>
      <c r="J115" s="21"/>
      <c r="K115" s="21"/>
      <c r="L115" s="21"/>
      <c r="M115" s="21"/>
      <c r="N115" s="21"/>
      <c r="O115" s="21"/>
      <c r="P115" s="431"/>
    </row>
    <row r="116" spans="1:16">
      <c r="A116" s="430"/>
      <c r="B116" s="21"/>
      <c r="C116" s="21" t="s">
        <v>123</v>
      </c>
      <c r="D116" s="21"/>
      <c r="E116" s="21"/>
      <c r="F116" s="21"/>
      <c r="G116" s="21"/>
      <c r="H116" s="21"/>
      <c r="I116" s="21"/>
      <c r="J116" s="21"/>
      <c r="K116" s="21"/>
      <c r="L116" s="21"/>
      <c r="M116" s="21"/>
      <c r="N116" s="21"/>
      <c r="O116" s="21"/>
      <c r="P116" s="431"/>
    </row>
    <row r="117" spans="1:16">
      <c r="A117" s="430"/>
      <c r="B117" s="21"/>
      <c r="C117" s="21"/>
      <c r="D117" s="21"/>
      <c r="E117" s="21"/>
      <c r="F117" s="21"/>
      <c r="G117" s="21"/>
      <c r="H117" s="21"/>
      <c r="I117" s="21"/>
      <c r="J117" s="21"/>
      <c r="K117" s="21"/>
      <c r="L117" s="21"/>
      <c r="M117" s="21"/>
      <c r="N117" s="21"/>
      <c r="O117" s="21"/>
      <c r="P117" s="431"/>
    </row>
    <row r="118" spans="1:16">
      <c r="A118" s="430"/>
      <c r="B118" s="21"/>
      <c r="C118" s="21" t="s">
        <v>124</v>
      </c>
      <c r="D118" s="21"/>
      <c r="E118" s="21"/>
      <c r="F118" s="21"/>
      <c r="G118" s="21"/>
      <c r="H118" s="21"/>
      <c r="I118" s="21"/>
      <c r="J118" s="21"/>
      <c r="K118" s="21"/>
      <c r="L118" s="21"/>
      <c r="M118" s="21"/>
      <c r="N118" s="21"/>
      <c r="O118" s="21"/>
      <c r="P118" s="431"/>
    </row>
    <row r="119" spans="1:16">
      <c r="A119" s="430"/>
      <c r="B119" s="21"/>
      <c r="C119" s="21" t="s">
        <v>125</v>
      </c>
      <c r="D119" s="21"/>
      <c r="E119" s="21"/>
      <c r="F119" s="21"/>
      <c r="G119" s="21"/>
      <c r="H119" s="21"/>
      <c r="I119" s="21"/>
      <c r="J119" s="21"/>
      <c r="K119" s="21"/>
      <c r="L119" s="21"/>
      <c r="M119" s="21"/>
      <c r="N119" s="21"/>
      <c r="O119" s="21"/>
      <c r="P119" s="431"/>
    </row>
    <row r="120" spans="1:16">
      <c r="A120" s="430"/>
      <c r="B120" s="21"/>
      <c r="C120" s="21" t="s">
        <v>126</v>
      </c>
      <c r="D120" s="21"/>
      <c r="E120" s="21"/>
      <c r="F120" s="21"/>
      <c r="G120" s="21"/>
      <c r="H120" s="21"/>
      <c r="I120" s="21"/>
      <c r="J120" s="21"/>
      <c r="K120" s="21"/>
      <c r="L120" s="21"/>
      <c r="M120" s="21"/>
      <c r="N120" s="21"/>
      <c r="O120" s="21"/>
      <c r="P120" s="431"/>
    </row>
    <row r="121" spans="1:16">
      <c r="A121" s="430"/>
      <c r="B121" s="21"/>
      <c r="C121" s="21"/>
      <c r="D121" s="21"/>
      <c r="E121" s="21"/>
      <c r="F121" s="21"/>
      <c r="G121" s="21"/>
      <c r="H121" s="21"/>
      <c r="I121" s="21"/>
      <c r="J121" s="21"/>
      <c r="K121" s="21"/>
      <c r="L121" s="21"/>
      <c r="M121" s="21"/>
      <c r="N121" s="21"/>
      <c r="O121" s="21"/>
      <c r="P121" s="431"/>
    </row>
    <row r="122" spans="1:16">
      <c r="A122" s="430"/>
      <c r="B122" s="21"/>
      <c r="C122" s="21" t="s">
        <v>282</v>
      </c>
      <c r="D122" s="21"/>
      <c r="E122" s="21"/>
      <c r="F122" s="21"/>
      <c r="G122" s="21"/>
      <c r="H122" s="21"/>
      <c r="I122" s="21"/>
      <c r="J122" s="21"/>
      <c r="K122" s="21"/>
      <c r="L122" s="21"/>
      <c r="M122" s="21"/>
      <c r="N122" s="21"/>
      <c r="O122" s="21"/>
      <c r="P122" s="431"/>
    </row>
    <row r="123" spans="1:16">
      <c r="A123" s="430"/>
      <c r="B123" s="21"/>
      <c r="C123" s="21" t="s">
        <v>283</v>
      </c>
      <c r="D123" s="21"/>
      <c r="E123" s="21"/>
      <c r="F123" s="21"/>
      <c r="G123" s="21"/>
      <c r="H123" s="21"/>
      <c r="I123" s="21"/>
      <c r="J123" s="21"/>
      <c r="K123" s="21"/>
      <c r="L123" s="21"/>
      <c r="M123" s="21"/>
      <c r="N123" s="21"/>
      <c r="O123" s="21"/>
      <c r="P123" s="431"/>
    </row>
    <row r="124" spans="1:16">
      <c r="A124" s="430"/>
      <c r="B124" s="21"/>
      <c r="C124" s="435" t="s">
        <v>127</v>
      </c>
      <c r="D124" s="21"/>
      <c r="E124" s="21"/>
      <c r="F124" s="21"/>
      <c r="G124" s="21"/>
      <c r="H124" s="21"/>
      <c r="I124" s="21"/>
      <c r="J124" s="21"/>
      <c r="K124" s="21"/>
      <c r="L124" s="21"/>
      <c r="M124" s="21"/>
      <c r="N124" s="21"/>
      <c r="O124" s="21"/>
      <c r="P124" s="431"/>
    </row>
    <row r="125" spans="1:16" ht="13.5" thickBot="1">
      <c r="A125" s="432"/>
      <c r="B125" s="61"/>
      <c r="C125" s="61"/>
      <c r="D125" s="61"/>
      <c r="E125" s="61"/>
      <c r="F125" s="61"/>
      <c r="G125" s="61"/>
      <c r="H125" s="61"/>
      <c r="I125" s="61"/>
      <c r="J125" s="61"/>
      <c r="K125" s="61"/>
      <c r="L125" s="61"/>
      <c r="M125" s="61"/>
      <c r="N125" s="61"/>
      <c r="O125" s="61"/>
      <c r="P125" s="433"/>
    </row>
  </sheetData>
  <mergeCells count="24">
    <mergeCell ref="G70:P70"/>
    <mergeCell ref="A23:P24"/>
    <mergeCell ref="B60:F62"/>
    <mergeCell ref="H45:P46"/>
    <mergeCell ref="A10:N10"/>
    <mergeCell ref="A15:N15"/>
    <mergeCell ref="A16:N16"/>
    <mergeCell ref="A18:N18"/>
    <mergeCell ref="A5:N5"/>
    <mergeCell ref="A6:N6"/>
    <mergeCell ref="A7:N7"/>
    <mergeCell ref="A9:N9"/>
    <mergeCell ref="G103:O104"/>
    <mergeCell ref="G71:P71"/>
    <mergeCell ref="G72:P72"/>
    <mergeCell ref="G73:P73"/>
    <mergeCell ref="G74:P74"/>
    <mergeCell ref="G75:P75"/>
    <mergeCell ref="G80:P83"/>
    <mergeCell ref="G92:P93"/>
    <mergeCell ref="G85:P88"/>
    <mergeCell ref="G68:P68"/>
    <mergeCell ref="G69:P69"/>
    <mergeCell ref="D46:F47"/>
  </mergeCells>
  <phoneticPr fontId="0" type="noConversion"/>
  <hyperlinks>
    <hyperlink ref="A20" r:id="rId1"/>
  </hyperlinks>
  <printOptions horizontalCentered="1" verticalCentered="1"/>
  <pageMargins left="0.55118110236220474" right="0.55118110236220474" top="0.59055118110236227" bottom="0.59055118110236227" header="0" footer="0"/>
  <pageSetup paperSize="9" scale="30" orientation="landscape" horizontalDpi="4294967293" verticalDpi="4294967293" r:id="rId2"/>
  <headerFooter alignWithMargins="0"/>
  <drawing r:id="rId3"/>
  <pictur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0"/>
    <pageSetUpPr fitToPage="1"/>
  </sheetPr>
  <dimension ref="A1:BK52"/>
  <sheetViews>
    <sheetView showGridLines="0" topLeftCell="A14" zoomScaleNormal="100" workbookViewId="0">
      <selection activeCell="BM24" sqref="BM24"/>
    </sheetView>
  </sheetViews>
  <sheetFormatPr defaultColWidth="8.85546875" defaultRowHeight="11.25"/>
  <cols>
    <col min="1" max="1" width="2.7109375" style="415" customWidth="1"/>
    <col min="2" max="2" width="4.85546875" style="415" hidden="1" customWidth="1"/>
    <col min="3" max="3" width="2.7109375" style="415" customWidth="1"/>
    <col min="4" max="4" width="17.5703125" style="158" customWidth="1"/>
    <col min="5" max="5" width="6.7109375" style="158" bestFit="1" customWidth="1"/>
    <col min="6" max="6" width="6.140625" style="158" bestFit="1" customWidth="1"/>
    <col min="7" max="7" width="4.42578125" style="416" customWidth="1"/>
    <col min="8" max="8" width="4.42578125" style="415" customWidth="1"/>
    <col min="9" max="9" width="4.7109375" style="415" customWidth="1"/>
    <col min="10" max="10" width="4.42578125" style="415" customWidth="1"/>
    <col min="11" max="11" width="4.7109375" style="415" customWidth="1"/>
    <col min="12" max="12" width="4.42578125" style="158" customWidth="1"/>
    <col min="13" max="13" width="4.7109375" style="158" customWidth="1"/>
    <col min="14" max="14" width="4.42578125" style="158" customWidth="1"/>
    <col min="15" max="15" width="4.7109375" style="158" customWidth="1"/>
    <col min="16" max="16" width="4.42578125" style="158" customWidth="1"/>
    <col min="17" max="17" width="4.7109375" style="158" customWidth="1"/>
    <col min="18" max="18" width="4.42578125" style="158" customWidth="1"/>
    <col min="19" max="19" width="4.7109375" style="158" customWidth="1"/>
    <col min="20" max="20" width="4.42578125" style="158" customWidth="1"/>
    <col min="21" max="21" width="5.85546875" style="158" customWidth="1"/>
    <col min="22" max="22" width="4.42578125" style="158" customWidth="1"/>
    <col min="23" max="23" width="4.7109375" style="158" customWidth="1"/>
    <col min="24" max="24" width="4.42578125" style="158" customWidth="1"/>
    <col min="25" max="25" width="4.7109375" style="158" customWidth="1"/>
    <col min="26" max="26" width="2.7109375" style="158" customWidth="1"/>
    <col min="27" max="27" width="4.7109375" style="158" customWidth="1"/>
    <col min="28" max="28" width="2.7109375" style="159" hidden="1" customWidth="1"/>
    <col min="29" max="29" width="4.7109375" style="158" hidden="1" customWidth="1"/>
    <col min="30" max="30" width="2.7109375" style="158" hidden="1" customWidth="1"/>
    <col min="31" max="31" width="4.7109375" style="158" hidden="1" customWidth="1"/>
    <col min="32" max="32" width="2.7109375" style="158" hidden="1" customWidth="1"/>
    <col min="33" max="33" width="18.85546875" style="158" hidden="1" customWidth="1"/>
    <col min="34" max="34" width="1.7109375" style="158" hidden="1" customWidth="1"/>
    <col min="35" max="35" width="8.85546875" style="158" hidden="1" customWidth="1"/>
    <col min="36" max="36" width="1.7109375" style="158" hidden="1" customWidth="1"/>
    <col min="37" max="37" width="8.85546875" style="158" hidden="1" customWidth="1"/>
    <col min="38" max="38" width="1.7109375" style="158" hidden="1" customWidth="1"/>
    <col min="39" max="39" width="8.85546875" style="158" hidden="1" customWidth="1"/>
    <col min="40" max="40" width="1.7109375" style="158" hidden="1" customWidth="1"/>
    <col min="41" max="41" width="8.85546875" style="158" hidden="1" customWidth="1"/>
    <col min="42" max="42" width="1.7109375" style="158" hidden="1" customWidth="1"/>
    <col min="43" max="43" width="8.85546875" style="158" hidden="1" customWidth="1"/>
    <col min="44" max="44" width="1.7109375" style="158" hidden="1" customWidth="1"/>
    <col min="45" max="45" width="8.85546875" style="158" hidden="1" customWidth="1"/>
    <col min="46" max="46" width="1.7109375" style="158" hidden="1" customWidth="1"/>
    <col min="47" max="47" width="8.85546875" style="158" hidden="1" customWidth="1"/>
    <col min="48" max="48" width="1.7109375" style="158" hidden="1" customWidth="1"/>
    <col min="49" max="49" width="8.85546875" style="158" hidden="1" customWidth="1"/>
    <col min="50" max="50" width="1.7109375" style="158" hidden="1" customWidth="1"/>
    <col min="51" max="51" width="8.85546875" style="158" hidden="1" customWidth="1"/>
    <col min="52" max="52" width="1.7109375" style="158" hidden="1" customWidth="1"/>
    <col min="53" max="53" width="8.85546875" style="158" hidden="1" customWidth="1"/>
    <col min="54" max="54" width="1.7109375" style="158" hidden="1" customWidth="1"/>
    <col min="55" max="57" width="8.85546875" style="158" hidden="1" customWidth="1"/>
    <col min="58" max="61" width="0" style="158" hidden="1" customWidth="1"/>
    <col min="62" max="63" width="8.85546875" style="158" hidden="1" customWidth="1"/>
    <col min="64" max="16384" width="8.85546875" style="158"/>
  </cols>
  <sheetData>
    <row r="1" spans="1:63" ht="20.100000000000001" customHeight="1" thickBot="1">
      <c r="A1" s="1368" t="str">
        <f>Draw!T3&amp;" Series."</f>
        <v>MOTUL FIM Ice Speedway Gladiators World Championship. 2015 Series.</v>
      </c>
      <c r="B1" s="1368"/>
      <c r="C1" s="1368"/>
      <c r="D1" s="1368"/>
      <c r="E1" s="1368"/>
      <c r="F1" s="1368"/>
      <c r="G1" s="1368"/>
      <c r="H1" s="1368"/>
      <c r="I1" s="1368"/>
      <c r="J1" s="1368"/>
      <c r="K1" s="1368"/>
      <c r="L1" s="1368"/>
      <c r="M1" s="1368"/>
      <c r="N1" s="1368"/>
      <c r="O1" s="1368"/>
      <c r="P1" s="1368"/>
      <c r="Q1" s="1368"/>
      <c r="R1" s="1368"/>
      <c r="S1" s="1368"/>
      <c r="T1" s="1368"/>
      <c r="U1" s="1368"/>
      <c r="V1" s="1368"/>
      <c r="W1" s="1368"/>
      <c r="X1" s="1368"/>
      <c r="Y1" s="1368"/>
      <c r="Z1" s="1368"/>
      <c r="AA1" s="1368"/>
      <c r="AB1" s="1368"/>
      <c r="AC1" s="1368"/>
      <c r="AD1" s="1368"/>
      <c r="AE1" s="1375"/>
      <c r="AF1" s="865"/>
      <c r="AG1" s="865"/>
      <c r="AH1" s="174"/>
      <c r="AJ1" s="174"/>
      <c r="AK1" s="174"/>
      <c r="AL1" s="174"/>
      <c r="AM1" s="174"/>
      <c r="AN1" s="174"/>
      <c r="AO1" s="174"/>
      <c r="AP1" s="174"/>
      <c r="AQ1" s="174"/>
      <c r="AR1" s="174"/>
      <c r="AS1" s="174"/>
      <c r="AT1" s="174"/>
      <c r="AU1" s="174"/>
      <c r="AV1" s="174"/>
      <c r="AW1" s="174"/>
      <c r="AX1" s="174"/>
      <c r="AY1" s="174"/>
      <c r="AZ1" s="174"/>
      <c r="BA1" s="174"/>
      <c r="BB1" s="174"/>
      <c r="BC1" s="174"/>
      <c r="BD1" s="174"/>
      <c r="BE1" s="174"/>
      <c r="BF1" s="290"/>
      <c r="BG1" s="290"/>
      <c r="BH1" s="290"/>
      <c r="BJ1" s="867"/>
      <c r="BK1" s="867"/>
    </row>
    <row r="2" spans="1:63" ht="20.100000000000001" customHeight="1">
      <c r="A2" s="1368" t="str">
        <f>"Intermediate Classification after: "&amp;'Day 1 Details'!D3</f>
        <v>Intermediate Classification after: Round 4 Assen, Netherlands.</v>
      </c>
      <c r="B2" s="1368"/>
      <c r="C2" s="1368"/>
      <c r="D2" s="1368"/>
      <c r="E2" s="1368"/>
      <c r="F2" s="1368"/>
      <c r="G2" s="1368"/>
      <c r="H2" s="1368"/>
      <c r="I2" s="1368"/>
      <c r="J2" s="1368"/>
      <c r="K2" s="1368"/>
      <c r="L2" s="1368"/>
      <c r="M2" s="1368"/>
      <c r="N2" s="1368"/>
      <c r="O2" s="1368"/>
      <c r="P2" s="1368"/>
      <c r="Q2" s="1368"/>
      <c r="R2" s="1368"/>
      <c r="S2" s="1368"/>
      <c r="T2" s="1368"/>
      <c r="U2" s="1368"/>
      <c r="V2" s="1368"/>
      <c r="W2" s="1368"/>
      <c r="X2" s="1368"/>
      <c r="Y2" s="1368"/>
      <c r="Z2" s="1368"/>
      <c r="AA2" s="1368"/>
      <c r="AB2" s="960"/>
      <c r="AC2" s="960"/>
      <c r="AD2" s="960"/>
      <c r="AE2" s="961"/>
      <c r="AF2" s="866"/>
      <c r="AG2" s="866"/>
      <c r="AI2" s="772"/>
      <c r="AJ2" s="772"/>
      <c r="AK2" s="772"/>
      <c r="AL2" s="772"/>
      <c r="AM2" s="772"/>
      <c r="AN2" s="772"/>
      <c r="AO2" s="772"/>
      <c r="AP2" s="772"/>
      <c r="AQ2" s="772"/>
      <c r="AR2" s="772"/>
      <c r="AS2" s="772"/>
      <c r="AT2" s="772"/>
      <c r="AU2" s="772"/>
      <c r="AV2" s="772"/>
      <c r="AW2" s="772"/>
      <c r="AX2" s="772"/>
      <c r="AY2" s="772"/>
      <c r="AZ2" s="772"/>
      <c r="BA2" s="772"/>
      <c r="BB2" s="772"/>
      <c r="BC2" s="772"/>
      <c r="BD2" s="772"/>
      <c r="BE2" s="772"/>
      <c r="BF2" s="290"/>
      <c r="BG2" s="290"/>
      <c r="BH2" s="290"/>
      <c r="BJ2" s="158" t="str">
        <f>IF('Day 2'!AC24="","Day 1","Day 2")</f>
        <v>Day 1</v>
      </c>
      <c r="BK2" s="158" t="str">
        <f>IF(BJ2="Day 2",Draw!T9,Draw!T8)</f>
        <v>7th March 2015</v>
      </c>
    </row>
    <row r="3" spans="1:63" ht="20.100000000000001" customHeight="1" thickBot="1">
      <c r="A3" s="1376" t="str">
        <f>BJ2&amp;", "&amp;BK2</f>
        <v>Day 1, 7th March 2015</v>
      </c>
      <c r="B3" s="1376"/>
      <c r="C3" s="1376"/>
      <c r="D3" s="1376"/>
      <c r="E3" s="1376"/>
      <c r="F3" s="1376"/>
      <c r="G3" s="1376"/>
      <c r="H3" s="1376"/>
      <c r="I3" s="1376"/>
      <c r="J3" s="1376"/>
      <c r="K3" s="1376"/>
      <c r="L3" s="1376"/>
      <c r="M3" s="1376"/>
      <c r="N3" s="1376"/>
      <c r="O3" s="1376"/>
      <c r="P3" s="1376"/>
      <c r="Q3" s="1376"/>
      <c r="R3" s="1376"/>
      <c r="S3" s="1376"/>
      <c r="T3" s="1376"/>
      <c r="U3" s="1376"/>
      <c r="V3" s="1376"/>
      <c r="W3" s="1376"/>
      <c r="X3" s="1376"/>
      <c r="Y3" s="1376"/>
      <c r="Z3" s="1376"/>
      <c r="AA3" s="1376"/>
      <c r="AB3" s="1376"/>
      <c r="AC3" s="1376"/>
      <c r="AD3" s="1376"/>
      <c r="AE3" s="1377"/>
      <c r="AF3" s="388"/>
      <c r="AG3" s="388"/>
      <c r="AH3" s="773"/>
      <c r="AI3" s="773"/>
      <c r="AJ3" s="773"/>
      <c r="AK3" s="773"/>
      <c r="AL3" s="773"/>
      <c r="AM3" s="773"/>
      <c r="AN3" s="773"/>
      <c r="AO3" s="773"/>
      <c r="AP3" s="773"/>
      <c r="AQ3" s="773"/>
      <c r="AR3" s="773"/>
      <c r="AS3" s="773"/>
      <c r="AT3" s="773"/>
      <c r="AU3" s="773"/>
      <c r="AV3" s="773"/>
      <c r="AW3" s="773"/>
      <c r="AX3" s="773"/>
      <c r="AY3" s="773"/>
      <c r="AZ3" s="773"/>
      <c r="BA3" s="773"/>
      <c r="BB3" s="773"/>
      <c r="BC3" s="773"/>
      <c r="BD3" s="773"/>
      <c r="BE3" s="773"/>
      <c r="BF3" s="290"/>
      <c r="BG3" s="290"/>
      <c r="BH3" s="290"/>
    </row>
    <row r="4" spans="1:63" ht="28.9" customHeight="1" thickBot="1">
      <c r="A4" s="1371" t="s">
        <v>96</v>
      </c>
      <c r="B4" s="959"/>
      <c r="C4" s="1369" t="s">
        <v>253</v>
      </c>
      <c r="D4" s="916"/>
      <c r="E4" s="917"/>
      <c r="F4" s="917"/>
      <c r="G4" s="1373" t="s">
        <v>168</v>
      </c>
      <c r="H4" s="1341" t="s">
        <v>284</v>
      </c>
      <c r="I4" s="1342"/>
      <c r="J4" s="1342"/>
      <c r="K4" s="1343"/>
      <c r="L4" s="1344" t="s">
        <v>359</v>
      </c>
      <c r="M4" s="1345"/>
      <c r="N4" s="1345"/>
      <c r="O4" s="1346"/>
      <c r="P4" s="1341" t="s">
        <v>360</v>
      </c>
      <c r="Q4" s="1342"/>
      <c r="R4" s="1342"/>
      <c r="S4" s="1343"/>
      <c r="T4" s="1341" t="s">
        <v>285</v>
      </c>
      <c r="U4" s="1342"/>
      <c r="V4" s="1342"/>
      <c r="W4" s="1343"/>
      <c r="X4" s="1341" t="s">
        <v>286</v>
      </c>
      <c r="Y4" s="1342"/>
      <c r="Z4" s="1342"/>
      <c r="AA4" s="1343"/>
      <c r="AB4" s="1341" t="s">
        <v>248</v>
      </c>
      <c r="AC4" s="1342"/>
      <c r="AD4" s="1342"/>
      <c r="AE4" s="1343"/>
      <c r="AF4" s="290"/>
      <c r="AG4" s="290"/>
      <c r="AI4" s="554" t="str">
        <f>H5</f>
        <v>Day 1</v>
      </c>
      <c r="AJ4" s="554"/>
      <c r="AK4" s="555" t="str">
        <f>J5</f>
        <v>Day 2</v>
      </c>
      <c r="AL4" s="555"/>
      <c r="AM4" s="555" t="str">
        <f>L5</f>
        <v>Day 1</v>
      </c>
      <c r="AN4" s="555"/>
      <c r="AO4" s="555" t="str">
        <f>N5</f>
        <v>Day 2</v>
      </c>
      <c r="AP4" s="555"/>
      <c r="AQ4" s="555" t="str">
        <f>P5</f>
        <v>Day 1</v>
      </c>
      <c r="AR4" s="555"/>
      <c r="AS4" s="555" t="str">
        <f>R5</f>
        <v>Day 2</v>
      </c>
      <c r="AT4" s="555"/>
      <c r="AU4" s="555" t="str">
        <f>T5</f>
        <v>Day 1</v>
      </c>
      <c r="AV4" s="555"/>
      <c r="AW4" s="555" t="str">
        <f>V5</f>
        <v>Day 2</v>
      </c>
      <c r="AX4" s="555"/>
      <c r="AY4" s="555" t="str">
        <f>X5</f>
        <v>Day 1</v>
      </c>
      <c r="AZ4" s="555"/>
      <c r="BA4" s="555" t="str">
        <f>Z5</f>
        <v>Day 2</v>
      </c>
      <c r="BB4" s="555"/>
      <c r="BC4" s="555" t="str">
        <f>AB5</f>
        <v>Day 1</v>
      </c>
      <c r="BD4" s="555"/>
      <c r="BE4" s="555" t="str">
        <f>AD5</f>
        <v>Day 2</v>
      </c>
      <c r="BF4" s="290"/>
      <c r="BG4" s="290"/>
      <c r="BH4" s="290"/>
    </row>
    <row r="5" spans="1:63" ht="11.25" customHeight="1" thickBot="1">
      <c r="A5" s="1372"/>
      <c r="B5" s="550" t="s">
        <v>167</v>
      </c>
      <c r="C5" s="1370"/>
      <c r="D5" s="552" t="s">
        <v>2</v>
      </c>
      <c r="E5" s="551" t="s">
        <v>67</v>
      </c>
      <c r="F5" s="557" t="s">
        <v>97</v>
      </c>
      <c r="G5" s="1374"/>
      <c r="H5" s="1365" t="s">
        <v>246</v>
      </c>
      <c r="I5" s="1366"/>
      <c r="J5" s="1366" t="s">
        <v>247</v>
      </c>
      <c r="K5" s="1367"/>
      <c r="L5" s="1365" t="s">
        <v>246</v>
      </c>
      <c r="M5" s="1366"/>
      <c r="N5" s="1366" t="s">
        <v>247</v>
      </c>
      <c r="O5" s="1367"/>
      <c r="P5" s="1365" t="s">
        <v>246</v>
      </c>
      <c r="Q5" s="1366"/>
      <c r="R5" s="1366" t="s">
        <v>247</v>
      </c>
      <c r="S5" s="1367"/>
      <c r="T5" s="1365" t="s">
        <v>246</v>
      </c>
      <c r="U5" s="1366"/>
      <c r="V5" s="1366" t="s">
        <v>247</v>
      </c>
      <c r="W5" s="1367"/>
      <c r="X5" s="1365" t="s">
        <v>246</v>
      </c>
      <c r="Y5" s="1366"/>
      <c r="Z5" s="1366" t="s">
        <v>247</v>
      </c>
      <c r="AA5" s="1367"/>
      <c r="AB5" s="1365" t="s">
        <v>246</v>
      </c>
      <c r="AC5" s="1366"/>
      <c r="AD5" s="1366" t="s">
        <v>247</v>
      </c>
      <c r="AE5" s="1367"/>
      <c r="AF5" s="290"/>
      <c r="AG5" s="290"/>
      <c r="AI5" s="556" t="str">
        <f>IF(Series!AV3="","",Series!AV3)</f>
        <v>Nikolay Krasnikov</v>
      </c>
      <c r="AJ5" s="555"/>
      <c r="AK5" s="556" t="str">
        <f>IF(Series!AX3="","",Series!AX3)</f>
        <v>Nikolay Krasnikov</v>
      </c>
      <c r="AL5" s="555"/>
      <c r="AM5" s="556" t="str">
        <f>IF(Series!AZ3="","",Series!AZ3)</f>
        <v>Igor Kononov</v>
      </c>
      <c r="AN5" s="555"/>
      <c r="AO5" s="556" t="str">
        <f>IF(Series!BB3="","",Series!BB3)</f>
        <v>Igor Kononov</v>
      </c>
      <c r="AP5" s="555"/>
      <c r="AQ5" s="556" t="str">
        <f>IF(Series!BD3="","",Series!BD3)</f>
        <v>Dimitry Koltakov</v>
      </c>
      <c r="AR5" s="555"/>
      <c r="AS5" s="556" t="str">
        <f>IF(Series!BF3="","",Series!BF3)</f>
        <v>Daniil Ivanov</v>
      </c>
      <c r="AT5" s="555"/>
      <c r="AU5" s="556" t="str">
        <f>IF(Series!BH3="","",Series!BH3)</f>
        <v>Dimitry Koltakov</v>
      </c>
      <c r="AV5" s="555"/>
      <c r="AW5" s="556" t="str">
        <f>IF(Series!BJ3="","",Series!BJ3)</f>
        <v/>
      </c>
      <c r="AX5" s="555"/>
      <c r="AY5" s="556" t="str">
        <f>IF(Series!BL3="","",Series!BL3)</f>
        <v/>
      </c>
      <c r="AZ5" s="555"/>
      <c r="BA5" s="556" t="str">
        <f>IF(Series!BN3="","",Series!BN3)</f>
        <v/>
      </c>
      <c r="BB5" s="555"/>
      <c r="BC5" s="556" t="str">
        <f>IF(Series!BP3="","",Series!BP3)</f>
        <v/>
      </c>
      <c r="BD5" s="556"/>
      <c r="BE5" s="556" t="str">
        <f>IF(Series!BR3="","",Series!BR3)</f>
        <v/>
      </c>
      <c r="BF5" s="290"/>
      <c r="BG5" s="290"/>
      <c r="BH5" s="290"/>
    </row>
    <row r="6" spans="1:63" ht="11.25" customHeight="1">
      <c r="A6" s="476">
        <v>1</v>
      </c>
      <c r="B6" s="413">
        <f>Series!C3</f>
        <v>2</v>
      </c>
      <c r="C6" s="481">
        <f>IF(B6=0,"",B6)</f>
        <v>2</v>
      </c>
      <c r="D6" s="558" t="str">
        <f>Series!D3</f>
        <v>Dimitry Koltakov</v>
      </c>
      <c r="E6" s="560" t="str">
        <f>IF(D6="","",VLOOKUP($D6,Draw!$B$3:$E$42,3,FALSE))</f>
        <v>MFR</v>
      </c>
      <c r="F6" s="561" t="str">
        <f>IF(E6="","",VLOOKUP($D6,Draw!$B$3:$E$42,4,FALSE))</f>
        <v>RUS</v>
      </c>
      <c r="G6" s="825">
        <f>Series!E3</f>
        <v>121</v>
      </c>
      <c r="H6" s="827">
        <f>Series!F3</f>
        <v>15</v>
      </c>
      <c r="I6" s="562" t="str">
        <f t="shared" ref="I6:I37" si="0">IF($D6=AI$5," (1st)",IF($D6=AI$6," (2nd)",IF($D6=AI$7," (3rd)",IF($D6=AI$8," (4th)",""))))</f>
        <v xml:space="preserve"> (4th)</v>
      </c>
      <c r="J6" s="563">
        <f>Series!G3</f>
        <v>20</v>
      </c>
      <c r="K6" s="564" t="str">
        <f t="shared" ref="K6:K37" si="1">IF($D6=AK$5," (1st)",IF($D6=AK$6," (2nd)",IF($D6=AK$7," (3rd)",IF($D6=AK$8," (4th)",""))))</f>
        <v xml:space="preserve"> (2nd)</v>
      </c>
      <c r="L6" s="829">
        <f>Series!H3</f>
        <v>17</v>
      </c>
      <c r="M6" s="562" t="str">
        <f t="shared" ref="M6:M37" si="2">IF($D6=AM$5," (1st)",IF($D6=AM$6," (2nd)",IF($D6=AM$7," (3rd)",IF($D6=AM$8," (4th)",""))))</f>
        <v xml:space="preserve"> (3rd)</v>
      </c>
      <c r="N6" s="563">
        <f>Series!I3</f>
        <v>16</v>
      </c>
      <c r="O6" s="564" t="str">
        <f t="shared" ref="O6:O37" si="3">IF($D6=AO$5," (1st)",IF($D6=AO$6," (2nd)",IF($D6=AO$7," (3rd)",IF($D6=AO$8," (4th)",""))))</f>
        <v xml:space="preserve"> (4th)</v>
      </c>
      <c r="P6" s="829">
        <f>Series!J3</f>
        <v>18</v>
      </c>
      <c r="Q6" s="562" t="str">
        <f t="shared" ref="Q6:Q37" si="4">IF($D6=AQ$5," (1st)",IF($D6=AQ$6," (2nd)",IF($D6=AQ$7," (3rd)",IF($D6=AQ$8," (4th)",""))))</f>
        <v xml:space="preserve"> (1st)</v>
      </c>
      <c r="R6" s="563">
        <f>Series!K3</f>
        <v>14</v>
      </c>
      <c r="S6" s="564" t="str">
        <f t="shared" ref="S6:S37" si="5">IF($D6=AS$5," (1st)",IF($D6=AS$6," (2nd)",IF($D6=AS$7," (3rd)",IF($D6=AS$8," (4th)",""))))</f>
        <v xml:space="preserve"> (2nd)</v>
      </c>
      <c r="T6" s="829">
        <f>Series!L3</f>
        <v>21</v>
      </c>
      <c r="U6" s="562" t="str">
        <f t="shared" ref="U6:U37" si="6">IF($D6=AU$5," (1st)",IF($D6=AU$6," (2nd)",IF($D6=AU$7," (3rd)",IF($D6=AU$8," (4th)",""))))</f>
        <v xml:space="preserve"> (1st)</v>
      </c>
      <c r="V6" s="563" t="str">
        <f>Series!M3</f>
        <v/>
      </c>
      <c r="W6" s="564" t="str">
        <f t="shared" ref="W6:W37" si="7">IF($D6=AW$5," (1st)",IF($D6=AW$6," (2nd)",IF($D6=AW$7," (3rd)",IF($D6=AW$8," (4th)",""))))</f>
        <v/>
      </c>
      <c r="X6" s="829" t="str">
        <f>Series!N3</f>
        <v/>
      </c>
      <c r="Y6" s="562" t="str">
        <f t="shared" ref="Y6:Y37" si="8">IF($D6=AY$5," (1st)",IF($D6=AY$6," (2nd)",IF($D6=AY$7," (3rd)",IF($D6=AY$8," (4th)",""))))</f>
        <v/>
      </c>
      <c r="Z6" s="563" t="str">
        <f>Series!O3</f>
        <v/>
      </c>
      <c r="AA6" s="564" t="str">
        <f t="shared" ref="AA6:AA37" si="9">IF($D6=BA$5," (1st)",IF($D6=BA$6," (2nd)",IF($D6=BA$7," (3rd)",IF($D6=BA$8," (4th)",""))))</f>
        <v/>
      </c>
      <c r="AB6" s="829" t="str">
        <f>Series!P3</f>
        <v/>
      </c>
      <c r="AC6" s="562" t="str">
        <f t="shared" ref="AC6:AC45" si="10">IF($D6=BC$5," (1st)",IF($D6=BC$6," (2nd)",IF($D6=BC$7," (3rd)",IF($D6=BC$8," (4th)",""))))</f>
        <v/>
      </c>
      <c r="AD6" s="563" t="str">
        <f>Series!Q3</f>
        <v/>
      </c>
      <c r="AE6" s="564" t="str">
        <f>IF($D6=BE$5," (1st)",IF($D6=BE$6," (2nd)",IF($D6=BE$7," (3rd)",IF($D6=BE$8," (4th)",""))))</f>
        <v/>
      </c>
      <c r="AF6" s="290"/>
      <c r="AG6" s="290"/>
      <c r="AI6" s="555" t="str">
        <f>IF(Series!AV4="","",Series!AV4)</f>
        <v>Vitaly Khomitsevich</v>
      </c>
      <c r="AJ6" s="555"/>
      <c r="AK6" s="555" t="str">
        <f>IF(Series!AX4="","",Series!AX4)</f>
        <v>Dimitry Koltakov</v>
      </c>
      <c r="AL6" s="555"/>
      <c r="AM6" s="555" t="str">
        <f>IF(Series!AZ4="","",Series!AZ4)</f>
        <v>Daniil Ivanov</v>
      </c>
      <c r="AN6" s="555"/>
      <c r="AO6" s="555" t="str">
        <f>IF(Series!BB4="","",Series!BB4)</f>
        <v>Dimitry Khomitsevich</v>
      </c>
      <c r="AP6" s="555"/>
      <c r="AQ6" s="555" t="str">
        <f>IF(Series!BD4="","",Series!BD4)</f>
        <v>Franz Zorn</v>
      </c>
      <c r="AR6" s="555"/>
      <c r="AS6" s="555" t="str">
        <f>IF(Series!BF4="","",Series!BF4)</f>
        <v>Dimitry Koltakov</v>
      </c>
      <c r="AT6" s="555"/>
      <c r="AU6" s="555" t="str">
        <f>IF(Series!BH4="","",Series!BH4)</f>
        <v>Daniil Ivanov</v>
      </c>
      <c r="AV6" s="555"/>
      <c r="AW6" s="555" t="str">
        <f>IF(Series!BJ4="","",Series!BJ4)</f>
        <v/>
      </c>
      <c r="AX6" s="555"/>
      <c r="AY6" s="555" t="str">
        <f>IF(Series!BL4="","",Series!BL4)</f>
        <v/>
      </c>
      <c r="AZ6" s="555"/>
      <c r="BA6" s="555" t="str">
        <f>IF(Series!BN4="","",Series!BN4)</f>
        <v/>
      </c>
      <c r="BB6" s="555"/>
      <c r="BC6" s="555" t="str">
        <f>IF(Series!BP4="","",Series!BP4)</f>
        <v/>
      </c>
      <c r="BD6" s="555"/>
      <c r="BE6" s="555" t="str">
        <f>IF(Series!BR4="","",Series!BR4)</f>
        <v/>
      </c>
      <c r="BF6" s="290"/>
      <c r="BG6" s="290"/>
      <c r="BH6" s="290"/>
    </row>
    <row r="7" spans="1:63" ht="11.25" customHeight="1">
      <c r="A7" s="477">
        <v>2</v>
      </c>
      <c r="B7" s="414">
        <f>Series!C4</f>
        <v>4</v>
      </c>
      <c r="C7" s="482">
        <f t="shared" ref="C7:C45" si="11">IF(B7=0,"",B7)</f>
        <v>4</v>
      </c>
      <c r="D7" s="559" t="str">
        <f>Series!D4</f>
        <v>Igor Kononov</v>
      </c>
      <c r="E7" s="565" t="str">
        <f>IF(D7="","",VLOOKUP($D7,Draw!$B$3:$E$42,3,FALSE))</f>
        <v>MFR</v>
      </c>
      <c r="F7" s="566" t="str">
        <f>IF(E7="","",VLOOKUP($D7,Draw!$B$3:$E$42,4,FALSE))</f>
        <v>RUS</v>
      </c>
      <c r="G7" s="826">
        <f>Series!E4</f>
        <v>105</v>
      </c>
      <c r="H7" s="606">
        <f>Series!F4</f>
        <v>15</v>
      </c>
      <c r="I7" s="567" t="str">
        <f t="shared" si="0"/>
        <v/>
      </c>
      <c r="J7" s="568">
        <f>Series!G4</f>
        <v>12</v>
      </c>
      <c r="K7" s="569" t="str">
        <f t="shared" si="1"/>
        <v/>
      </c>
      <c r="L7" s="830">
        <f>Series!H4</f>
        <v>20</v>
      </c>
      <c r="M7" s="567" t="str">
        <f t="shared" si="2"/>
        <v xml:space="preserve"> (1st)</v>
      </c>
      <c r="N7" s="568">
        <f>Series!I4</f>
        <v>21</v>
      </c>
      <c r="O7" s="569" t="str">
        <f t="shared" si="3"/>
        <v xml:space="preserve"> (1st)</v>
      </c>
      <c r="P7" s="830">
        <f>Series!J4</f>
        <v>15</v>
      </c>
      <c r="Q7" s="567" t="str">
        <f t="shared" si="4"/>
        <v/>
      </c>
      <c r="R7" s="568">
        <f>Series!K4</f>
        <v>8</v>
      </c>
      <c r="S7" s="569" t="str">
        <f t="shared" si="5"/>
        <v/>
      </c>
      <c r="T7" s="830">
        <f>Series!L4</f>
        <v>14</v>
      </c>
      <c r="U7" s="567" t="str">
        <f t="shared" si="6"/>
        <v xml:space="preserve"> (4th)</v>
      </c>
      <c r="V7" s="568" t="str">
        <f>Series!M4</f>
        <v/>
      </c>
      <c r="W7" s="569" t="str">
        <f t="shared" si="7"/>
        <v/>
      </c>
      <c r="X7" s="830" t="str">
        <f>Series!N4</f>
        <v/>
      </c>
      <c r="Y7" s="567" t="str">
        <f t="shared" si="8"/>
        <v/>
      </c>
      <c r="Z7" s="568" t="str">
        <f>Series!O4</f>
        <v/>
      </c>
      <c r="AA7" s="569" t="str">
        <f t="shared" si="9"/>
        <v/>
      </c>
      <c r="AB7" s="830" t="str">
        <f>Series!P4</f>
        <v/>
      </c>
      <c r="AC7" s="567" t="str">
        <f t="shared" si="10"/>
        <v/>
      </c>
      <c r="AD7" s="568"/>
      <c r="AE7" s="569"/>
      <c r="AF7" s="290"/>
      <c r="AG7" s="290"/>
      <c r="AI7" s="555" t="str">
        <f>IF(Series!AV5="","",Series!AV5)</f>
        <v>Dimitry Khomitsevich</v>
      </c>
      <c r="AJ7" s="555"/>
      <c r="AK7" s="555" t="str">
        <f>IF(Series!AX5="","",Series!AX5)</f>
        <v>Dimitry Khomitsevich</v>
      </c>
      <c r="AL7" s="555"/>
      <c r="AM7" s="555" t="str">
        <f>IF(Series!AZ5="","",Series!AZ5)</f>
        <v>Dimitry Koltakov</v>
      </c>
      <c r="AN7" s="555"/>
      <c r="AO7" s="555" t="str">
        <f>IF(Series!BB5="","",Series!BB5)</f>
        <v>Vitaly Khomitsevich</v>
      </c>
      <c r="AP7" s="555"/>
      <c r="AQ7" s="555" t="str">
        <f>IF(Series!BD5="","",Series!BD5)</f>
        <v>Dimitry Khomitsevich</v>
      </c>
      <c r="AR7" s="555"/>
      <c r="AS7" s="555" t="str">
        <f>IF(Series!BF5="","",Series!BF5)</f>
        <v>Dimitry Khomitsevich</v>
      </c>
      <c r="AT7" s="555"/>
      <c r="AU7" s="555" t="str">
        <f>IF(Series!BH5="","",Series!BH5)</f>
        <v>Dimitry Khomitsevich</v>
      </c>
      <c r="AV7" s="555"/>
      <c r="AW7" s="555" t="str">
        <f>IF(Series!BJ5="","",Series!BJ5)</f>
        <v/>
      </c>
      <c r="AX7" s="555"/>
      <c r="AY7" s="555" t="str">
        <f>IF(Series!BL5="","",Series!BL5)</f>
        <v/>
      </c>
      <c r="AZ7" s="555"/>
      <c r="BA7" s="555" t="str">
        <f>IF(Series!BN5="","",Series!BN5)</f>
        <v/>
      </c>
      <c r="BB7" s="555"/>
      <c r="BC7" s="555" t="str">
        <f>IF(Series!BP5="","",Series!BP5)</f>
        <v/>
      </c>
      <c r="BD7" s="555"/>
      <c r="BE7" s="555" t="str">
        <f>IF(Series!BR5="","",Series!BR5)</f>
        <v/>
      </c>
      <c r="BF7" s="290"/>
      <c r="BG7" s="290"/>
      <c r="BH7" s="290"/>
    </row>
    <row r="8" spans="1:63" ht="11.25" customHeight="1">
      <c r="A8" s="477">
        <v>3</v>
      </c>
      <c r="B8" s="414">
        <f>Series!C5</f>
        <v>3</v>
      </c>
      <c r="C8" s="482">
        <f t="shared" si="11"/>
        <v>3</v>
      </c>
      <c r="D8" s="559" t="str">
        <f>Series!D5</f>
        <v>Dimitry Khomitsevich</v>
      </c>
      <c r="E8" s="565" t="str">
        <f>IF(D8="","",VLOOKUP($D8,Draw!$B$3:$E$42,3,FALSE))</f>
        <v>MFR</v>
      </c>
      <c r="F8" s="566" t="str">
        <f>IF(E8="","",VLOOKUP($D8,Draw!$B$3:$E$42,4,FALSE))</f>
        <v>RUS</v>
      </c>
      <c r="G8" s="826">
        <f>Series!E5</f>
        <v>103</v>
      </c>
      <c r="H8" s="606">
        <f>Series!F5</f>
        <v>14</v>
      </c>
      <c r="I8" s="567" t="str">
        <f t="shared" si="0"/>
        <v xml:space="preserve"> (3rd)</v>
      </c>
      <c r="J8" s="568">
        <f>Series!G5</f>
        <v>15</v>
      </c>
      <c r="K8" s="569" t="str">
        <f t="shared" si="1"/>
        <v xml:space="preserve"> (3rd)</v>
      </c>
      <c r="L8" s="830">
        <f>Series!H5</f>
        <v>12</v>
      </c>
      <c r="M8" s="567" t="str">
        <f t="shared" si="2"/>
        <v xml:space="preserve"> (4th)</v>
      </c>
      <c r="N8" s="568">
        <f>Series!I5</f>
        <v>16</v>
      </c>
      <c r="O8" s="569" t="str">
        <f t="shared" si="3"/>
        <v xml:space="preserve"> (2nd)</v>
      </c>
      <c r="P8" s="830">
        <f>Series!J5</f>
        <v>15</v>
      </c>
      <c r="Q8" s="567" t="str">
        <f t="shared" si="4"/>
        <v xml:space="preserve"> (3rd)</v>
      </c>
      <c r="R8" s="568">
        <f>Series!K5</f>
        <v>13</v>
      </c>
      <c r="S8" s="569" t="str">
        <f t="shared" si="5"/>
        <v xml:space="preserve"> (3rd)</v>
      </c>
      <c r="T8" s="830">
        <f>Series!L5</f>
        <v>18</v>
      </c>
      <c r="U8" s="567" t="str">
        <f t="shared" si="6"/>
        <v xml:space="preserve"> (3rd)</v>
      </c>
      <c r="V8" s="568" t="str">
        <f>Series!M5</f>
        <v/>
      </c>
      <c r="W8" s="569" t="str">
        <f t="shared" si="7"/>
        <v/>
      </c>
      <c r="X8" s="830" t="str">
        <f>Series!N5</f>
        <v/>
      </c>
      <c r="Y8" s="567" t="str">
        <f t="shared" si="8"/>
        <v/>
      </c>
      <c r="Z8" s="568" t="str">
        <f>Series!O5</f>
        <v/>
      </c>
      <c r="AA8" s="569" t="str">
        <f t="shared" si="9"/>
        <v/>
      </c>
      <c r="AB8" s="830" t="str">
        <f>Series!P5</f>
        <v/>
      </c>
      <c r="AC8" s="567" t="str">
        <f t="shared" si="10"/>
        <v/>
      </c>
      <c r="AD8" s="568"/>
      <c r="AE8" s="569"/>
      <c r="AF8" s="290"/>
      <c r="AG8" s="290"/>
      <c r="AI8" s="555" t="str">
        <f>IF(Series!AV6="","",Series!AV6)</f>
        <v>Dimitry Koltakov</v>
      </c>
      <c r="AJ8" s="555"/>
      <c r="AK8" s="555" t="str">
        <f>IF(Series!AX6="","",Series!AX6)</f>
        <v>Daniil Ivanov</v>
      </c>
      <c r="AL8" s="555"/>
      <c r="AM8" s="555" t="str">
        <f>IF(Series!AZ6="","",Series!AZ6)</f>
        <v>Dimitry Khomitsevich</v>
      </c>
      <c r="AN8" s="555"/>
      <c r="AO8" s="555" t="str">
        <f>IF(Series!BB6="","",Series!BB6)</f>
        <v>Dimitry Koltakov</v>
      </c>
      <c r="AP8" s="555"/>
      <c r="AQ8" s="555" t="str">
        <f>IF(Series!BD6="","",Series!BD6)</f>
        <v>Vitaly Khomitsevich</v>
      </c>
      <c r="AR8" s="555"/>
      <c r="AS8" s="555" t="str">
        <f>IF(Series!BF6="","",Series!BF6)</f>
        <v>Franz Zorn</v>
      </c>
      <c r="AT8" s="555"/>
      <c r="AU8" s="555" t="str">
        <f>IF(Series!BH6="","",Series!BH6)</f>
        <v>Igor Kononov</v>
      </c>
      <c r="AV8" s="555"/>
      <c r="AW8" s="555" t="str">
        <f>IF(Series!BJ6="","",Series!BJ6)</f>
        <v/>
      </c>
      <c r="AX8" s="555"/>
      <c r="AY8" s="555" t="str">
        <f>IF(Series!BL6="","",Series!BL6)</f>
        <v/>
      </c>
      <c r="AZ8" s="555"/>
      <c r="BA8" s="555" t="str">
        <f>IF(Series!BN6="","",Series!BN6)</f>
        <v/>
      </c>
      <c r="BB8" s="555"/>
      <c r="BC8" s="555" t="str">
        <f>IF(Series!BP6="","",Series!BP6)</f>
        <v/>
      </c>
      <c r="BD8" s="555"/>
      <c r="BE8" s="555" t="str">
        <f>IF(Series!BR6="","",Series!BR6)</f>
        <v/>
      </c>
      <c r="BF8" s="290"/>
      <c r="BG8" s="290"/>
      <c r="BH8" s="290"/>
    </row>
    <row r="9" spans="1:63" ht="11.25" customHeight="1">
      <c r="A9" s="477">
        <v>4</v>
      </c>
      <c r="B9" s="414">
        <f>Series!C6</f>
        <v>1</v>
      </c>
      <c r="C9" s="482">
        <f t="shared" si="11"/>
        <v>1</v>
      </c>
      <c r="D9" s="559" t="str">
        <f>Series!D6</f>
        <v>Daniil Ivanov</v>
      </c>
      <c r="E9" s="565" t="str">
        <f>IF(D9="","",VLOOKUP($D9,Draw!$B$3:$E$42,3,FALSE))</f>
        <v>MFR</v>
      </c>
      <c r="F9" s="566" t="str">
        <f>IF(E9="","",VLOOKUP($D9,Draw!$B$3:$E$42,4,FALSE))</f>
        <v>RUS</v>
      </c>
      <c r="G9" s="826">
        <f>Series!E6</f>
        <v>99</v>
      </c>
      <c r="H9" s="606">
        <f>Series!F6</f>
        <v>11</v>
      </c>
      <c r="I9" s="567" t="str">
        <f t="shared" si="0"/>
        <v/>
      </c>
      <c r="J9" s="568">
        <f>Series!G6</f>
        <v>11</v>
      </c>
      <c r="K9" s="569" t="str">
        <f t="shared" si="1"/>
        <v xml:space="preserve"> (4th)</v>
      </c>
      <c r="L9" s="830">
        <f>Series!H6</f>
        <v>19</v>
      </c>
      <c r="M9" s="567" t="str">
        <f t="shared" si="2"/>
        <v xml:space="preserve"> (2nd)</v>
      </c>
      <c r="N9" s="568">
        <f>Series!I6</f>
        <v>12</v>
      </c>
      <c r="O9" s="569" t="str">
        <f t="shared" si="3"/>
        <v/>
      </c>
      <c r="P9" s="830">
        <f>Series!J6</f>
        <v>14</v>
      </c>
      <c r="Q9" s="567" t="str">
        <f t="shared" si="4"/>
        <v/>
      </c>
      <c r="R9" s="568">
        <f>Series!K6</f>
        <v>15</v>
      </c>
      <c r="S9" s="569" t="str">
        <f t="shared" si="5"/>
        <v xml:space="preserve"> (1st)</v>
      </c>
      <c r="T9" s="830">
        <f>Series!L6</f>
        <v>17</v>
      </c>
      <c r="U9" s="567" t="str">
        <f t="shared" si="6"/>
        <v xml:space="preserve"> (2nd)</v>
      </c>
      <c r="V9" s="568" t="str">
        <f>Series!M6</f>
        <v/>
      </c>
      <c r="W9" s="569" t="str">
        <f t="shared" si="7"/>
        <v/>
      </c>
      <c r="X9" s="830" t="str">
        <f>Series!N6</f>
        <v/>
      </c>
      <c r="Y9" s="567" t="str">
        <f t="shared" si="8"/>
        <v/>
      </c>
      <c r="Z9" s="568" t="str">
        <f>Series!O6</f>
        <v/>
      </c>
      <c r="AA9" s="569" t="str">
        <f t="shared" si="9"/>
        <v/>
      </c>
      <c r="AB9" s="830" t="str">
        <f>Series!P6</f>
        <v/>
      </c>
      <c r="AC9" s="567" t="str">
        <f t="shared" si="10"/>
        <v/>
      </c>
      <c r="AD9" s="568"/>
      <c r="AE9" s="569"/>
      <c r="AF9" s="290"/>
      <c r="AG9" s="290"/>
    </row>
    <row r="10" spans="1:63" ht="11.25" customHeight="1">
      <c r="A10" s="477">
        <v>5</v>
      </c>
      <c r="B10" s="414">
        <f>Series!C7</f>
        <v>11</v>
      </c>
      <c r="C10" s="482">
        <f t="shared" si="11"/>
        <v>11</v>
      </c>
      <c r="D10" s="559" t="str">
        <f>Series!D7</f>
        <v>Vitaly Khomitsevich</v>
      </c>
      <c r="E10" s="565" t="str">
        <f>IF(D10="","",VLOOKUP($D10,Draw!$B$3:$E$42,3,FALSE))</f>
        <v>MFR</v>
      </c>
      <c r="F10" s="566" t="str">
        <f>IF(E10="","",VLOOKUP($D10,Draw!$B$3:$E$42,4,FALSE))</f>
        <v>RUS</v>
      </c>
      <c r="G10" s="826">
        <f>Series!E7</f>
        <v>90</v>
      </c>
      <c r="H10" s="606">
        <f>Series!F7</f>
        <v>16</v>
      </c>
      <c r="I10" s="567" t="str">
        <f t="shared" si="0"/>
        <v xml:space="preserve"> (2nd)</v>
      </c>
      <c r="J10" s="568">
        <f>Series!G7</f>
        <v>12</v>
      </c>
      <c r="K10" s="569" t="str">
        <f t="shared" si="1"/>
        <v/>
      </c>
      <c r="L10" s="830">
        <f>Series!H7</f>
        <v>12</v>
      </c>
      <c r="M10" s="567" t="str">
        <f t="shared" si="2"/>
        <v/>
      </c>
      <c r="N10" s="568">
        <f>Series!I7</f>
        <v>12</v>
      </c>
      <c r="O10" s="569" t="str">
        <f t="shared" si="3"/>
        <v xml:space="preserve"> (3rd)</v>
      </c>
      <c r="P10" s="830">
        <f>Series!J7</f>
        <v>16</v>
      </c>
      <c r="Q10" s="567" t="str">
        <f t="shared" si="4"/>
        <v xml:space="preserve"> (4th)</v>
      </c>
      <c r="R10" s="568">
        <f>Series!K7</f>
        <v>10</v>
      </c>
      <c r="S10" s="569" t="str">
        <f t="shared" si="5"/>
        <v/>
      </c>
      <c r="T10" s="830">
        <f>Series!L7</f>
        <v>12</v>
      </c>
      <c r="U10" s="567" t="str">
        <f t="shared" si="6"/>
        <v/>
      </c>
      <c r="V10" s="568" t="str">
        <f>Series!M7</f>
        <v/>
      </c>
      <c r="W10" s="569" t="str">
        <f t="shared" si="7"/>
        <v/>
      </c>
      <c r="X10" s="830" t="str">
        <f>Series!N7</f>
        <v/>
      </c>
      <c r="Y10" s="567" t="str">
        <f t="shared" si="8"/>
        <v/>
      </c>
      <c r="Z10" s="568" t="str">
        <f>Series!O7</f>
        <v/>
      </c>
      <c r="AA10" s="569" t="str">
        <f t="shared" si="9"/>
        <v/>
      </c>
      <c r="AB10" s="830" t="str">
        <f>Series!P7</f>
        <v/>
      </c>
      <c r="AC10" s="567" t="str">
        <f t="shared" si="10"/>
        <v/>
      </c>
      <c r="AD10" s="568"/>
      <c r="AE10" s="569"/>
      <c r="AF10" s="290"/>
      <c r="AG10" s="290"/>
    </row>
    <row r="11" spans="1:63" ht="11.25" customHeight="1">
      <c r="A11" s="477">
        <v>6</v>
      </c>
      <c r="B11" s="414">
        <f>Series!C8</f>
        <v>10</v>
      </c>
      <c r="C11" s="482">
        <f t="shared" si="11"/>
        <v>10</v>
      </c>
      <c r="D11" s="559" t="str">
        <f>Series!D8</f>
        <v>Franz Zorn</v>
      </c>
      <c r="E11" s="565" t="str">
        <f>IF(D11="","",VLOOKUP($D11,Draw!$B$3:$E$42,3,FALSE))</f>
        <v>OeAMTC</v>
      </c>
      <c r="F11" s="566" t="str">
        <f>IF(E11="","",VLOOKUP($D11,Draw!$B$3:$E$42,4,FALSE))</f>
        <v>AUS</v>
      </c>
      <c r="G11" s="826">
        <f>Series!E8</f>
        <v>74</v>
      </c>
      <c r="H11" s="606">
        <f>Series!F8</f>
        <v>9</v>
      </c>
      <c r="I11" s="567" t="str">
        <f t="shared" si="0"/>
        <v/>
      </c>
      <c r="J11" s="568">
        <f>Series!G8</f>
        <v>8</v>
      </c>
      <c r="K11" s="569" t="str">
        <f t="shared" si="1"/>
        <v/>
      </c>
      <c r="L11" s="830">
        <f>Series!H8</f>
        <v>11</v>
      </c>
      <c r="M11" s="567" t="str">
        <f t="shared" si="2"/>
        <v/>
      </c>
      <c r="N11" s="568">
        <f>Series!I8</f>
        <v>12</v>
      </c>
      <c r="O11" s="569" t="str">
        <f t="shared" si="3"/>
        <v/>
      </c>
      <c r="P11" s="830">
        <f>Series!J8</f>
        <v>12</v>
      </c>
      <c r="Q11" s="567" t="str">
        <f t="shared" si="4"/>
        <v xml:space="preserve"> (2nd)</v>
      </c>
      <c r="R11" s="568">
        <f>Series!K8</f>
        <v>11</v>
      </c>
      <c r="S11" s="569" t="str">
        <f t="shared" si="5"/>
        <v xml:space="preserve"> (4th)</v>
      </c>
      <c r="T11" s="830">
        <f>Series!L8</f>
        <v>11</v>
      </c>
      <c r="U11" s="567" t="str">
        <f t="shared" si="6"/>
        <v/>
      </c>
      <c r="V11" s="568" t="str">
        <f>Series!M8</f>
        <v/>
      </c>
      <c r="W11" s="569" t="str">
        <f t="shared" si="7"/>
        <v/>
      </c>
      <c r="X11" s="830" t="str">
        <f>Series!N8</f>
        <v/>
      </c>
      <c r="Y11" s="567" t="str">
        <f t="shared" si="8"/>
        <v/>
      </c>
      <c r="Z11" s="568" t="str">
        <f>Series!O8</f>
        <v/>
      </c>
      <c r="AA11" s="569" t="str">
        <f t="shared" si="9"/>
        <v/>
      </c>
      <c r="AB11" s="830" t="str">
        <f>Series!P8</f>
        <v/>
      </c>
      <c r="AC11" s="567" t="str">
        <f t="shared" si="10"/>
        <v/>
      </c>
      <c r="AD11" s="568"/>
      <c r="AE11" s="569"/>
      <c r="AF11" s="290"/>
      <c r="AG11" s="290"/>
    </row>
    <row r="12" spans="1:63" ht="11.25" customHeight="1">
      <c r="A12" s="477">
        <v>7</v>
      </c>
      <c r="B12" s="414">
        <f>Series!C9</f>
        <v>15</v>
      </c>
      <c r="C12" s="482">
        <f t="shared" si="11"/>
        <v>15</v>
      </c>
      <c r="D12" s="559" t="str">
        <f>Series!D9</f>
        <v>Harald Simon</v>
      </c>
      <c r="E12" s="565" t="str">
        <f>IF(D12="","",VLOOKUP($D12,Draw!$B$3:$E$42,3,FALSE))</f>
        <v>OeAMTC</v>
      </c>
      <c r="F12" s="566" t="str">
        <f>IF(E12="","",VLOOKUP($D12,Draw!$B$3:$E$42,4,FALSE))</f>
        <v>AUS</v>
      </c>
      <c r="G12" s="923">
        <f>Series!E9</f>
        <v>50</v>
      </c>
      <c r="H12" s="606">
        <f>Series!F9</f>
        <v>6</v>
      </c>
      <c r="I12" s="567" t="str">
        <f t="shared" si="0"/>
        <v/>
      </c>
      <c r="J12" s="568">
        <f>Series!G9</f>
        <v>8</v>
      </c>
      <c r="K12" s="569" t="str">
        <f t="shared" si="1"/>
        <v/>
      </c>
      <c r="L12" s="830">
        <f>Series!H9</f>
        <v>8</v>
      </c>
      <c r="M12" s="567" t="str">
        <f t="shared" si="2"/>
        <v/>
      </c>
      <c r="N12" s="568">
        <f>Series!I9</f>
        <v>8</v>
      </c>
      <c r="O12" s="569" t="str">
        <f t="shared" si="3"/>
        <v/>
      </c>
      <c r="P12" s="830">
        <f>Series!J9</f>
        <v>8</v>
      </c>
      <c r="Q12" s="567" t="str">
        <f t="shared" si="4"/>
        <v/>
      </c>
      <c r="R12" s="568">
        <f>Series!K9</f>
        <v>8</v>
      </c>
      <c r="S12" s="569" t="str">
        <f t="shared" si="5"/>
        <v/>
      </c>
      <c r="T12" s="830">
        <f>Series!L9</f>
        <v>4</v>
      </c>
      <c r="U12" s="567" t="str">
        <f t="shared" si="6"/>
        <v/>
      </c>
      <c r="V12" s="568" t="str">
        <f>Series!M9</f>
        <v/>
      </c>
      <c r="W12" s="569" t="str">
        <f t="shared" si="7"/>
        <v/>
      </c>
      <c r="X12" s="830" t="str">
        <f>Series!N9</f>
        <v/>
      </c>
      <c r="Y12" s="567" t="str">
        <f t="shared" si="8"/>
        <v/>
      </c>
      <c r="Z12" s="568" t="str">
        <f>Series!O9</f>
        <v/>
      </c>
      <c r="AA12" s="569" t="str">
        <f t="shared" si="9"/>
        <v/>
      </c>
      <c r="AB12" s="830" t="str">
        <f>Series!P9</f>
        <v/>
      </c>
      <c r="AC12" s="567" t="str">
        <f t="shared" si="10"/>
        <v/>
      </c>
      <c r="AD12" s="568"/>
      <c r="AE12" s="569"/>
      <c r="AF12" s="290"/>
      <c r="AG12" s="290"/>
    </row>
    <row r="13" spans="1:63" ht="11.25" customHeight="1">
      <c r="A13" s="477">
        <v>8</v>
      </c>
      <c r="B13" s="414">
        <f>Series!C10</f>
        <v>5</v>
      </c>
      <c r="C13" s="482">
        <f t="shared" si="11"/>
        <v>5</v>
      </c>
      <c r="D13" s="559" t="str">
        <f>Series!D10</f>
        <v>Stefan Svensson</v>
      </c>
      <c r="E13" s="565" t="str">
        <f>IF(D13="","",VLOOKUP($D13,Draw!$B$3:$E$42,3,FALSE))</f>
        <v>SVEMO</v>
      </c>
      <c r="F13" s="566" t="str">
        <f>IF(E13="","",VLOOKUP($D13,Draw!$B$3:$E$42,4,FALSE))</f>
        <v>SWE</v>
      </c>
      <c r="G13" s="923">
        <f>Series!E10</f>
        <v>47</v>
      </c>
      <c r="H13" s="606">
        <f>Series!F10</f>
        <v>3</v>
      </c>
      <c r="I13" s="567" t="str">
        <f t="shared" si="0"/>
        <v/>
      </c>
      <c r="J13" s="568">
        <f>Series!G10</f>
        <v>3</v>
      </c>
      <c r="K13" s="569" t="str">
        <f t="shared" si="1"/>
        <v/>
      </c>
      <c r="L13" s="830">
        <f>Series!H10</f>
        <v>9</v>
      </c>
      <c r="M13" s="567" t="str">
        <f t="shared" si="2"/>
        <v/>
      </c>
      <c r="N13" s="568">
        <f>Series!I10</f>
        <v>8</v>
      </c>
      <c r="O13" s="569" t="str">
        <f t="shared" si="3"/>
        <v/>
      </c>
      <c r="P13" s="830">
        <f>Series!J10</f>
        <v>8</v>
      </c>
      <c r="Q13" s="567" t="str">
        <f t="shared" si="4"/>
        <v/>
      </c>
      <c r="R13" s="568">
        <f>Series!K10</f>
        <v>8</v>
      </c>
      <c r="S13" s="569" t="str">
        <f t="shared" si="5"/>
        <v/>
      </c>
      <c r="T13" s="830">
        <f>Series!L10</f>
        <v>8</v>
      </c>
      <c r="U13" s="567" t="str">
        <f t="shared" si="6"/>
        <v/>
      </c>
      <c r="V13" s="568" t="str">
        <f>Series!M10</f>
        <v/>
      </c>
      <c r="W13" s="569" t="str">
        <f t="shared" si="7"/>
        <v/>
      </c>
      <c r="X13" s="830" t="str">
        <f>Series!N10</f>
        <v/>
      </c>
      <c r="Y13" s="567" t="str">
        <f t="shared" si="8"/>
        <v/>
      </c>
      <c r="Z13" s="568" t="str">
        <f>Series!O10</f>
        <v/>
      </c>
      <c r="AA13" s="569" t="str">
        <f t="shared" si="9"/>
        <v/>
      </c>
      <c r="AB13" s="830" t="str">
        <f>Series!P10</f>
        <v/>
      </c>
      <c r="AC13" s="567" t="str">
        <f t="shared" si="10"/>
        <v/>
      </c>
      <c r="AD13" s="568"/>
      <c r="AE13" s="569"/>
      <c r="AF13" s="290"/>
      <c r="AG13" s="290"/>
    </row>
    <row r="14" spans="1:63" ht="11.25" customHeight="1">
      <c r="A14" s="477">
        <v>9</v>
      </c>
      <c r="B14" s="414">
        <f>Series!C11</f>
        <v>14</v>
      </c>
      <c r="C14" s="482">
        <f t="shared" si="11"/>
        <v>14</v>
      </c>
      <c r="D14" s="559" t="str">
        <f>Series!D11</f>
        <v>Antonin Klatovsky</v>
      </c>
      <c r="E14" s="565" t="str">
        <f>IF(D14="","",VLOOKUP($D14,Draw!$B$3:$E$42,3,FALSE))</f>
        <v>ACCR</v>
      </c>
      <c r="F14" s="566" t="str">
        <f>IF(E14="","",VLOOKUP($D14,Draw!$B$3:$E$42,4,FALSE))</f>
        <v>CZR</v>
      </c>
      <c r="G14" s="923">
        <f>Series!E11</f>
        <v>43</v>
      </c>
      <c r="H14" s="606">
        <f>Series!F11</f>
        <v>7</v>
      </c>
      <c r="I14" s="567" t="str">
        <f t="shared" si="0"/>
        <v/>
      </c>
      <c r="J14" s="568">
        <f>Series!G11</f>
        <v>8</v>
      </c>
      <c r="K14" s="569" t="str">
        <f t="shared" si="1"/>
        <v/>
      </c>
      <c r="L14" s="830">
        <f>Series!H11</f>
        <v>3</v>
      </c>
      <c r="M14" s="567" t="str">
        <f t="shared" si="2"/>
        <v/>
      </c>
      <c r="N14" s="568">
        <f>Series!I11</f>
        <v>6</v>
      </c>
      <c r="O14" s="569" t="str">
        <f t="shared" si="3"/>
        <v/>
      </c>
      <c r="P14" s="830">
        <f>Series!J11</f>
        <v>7</v>
      </c>
      <c r="Q14" s="567" t="str">
        <f t="shared" si="4"/>
        <v/>
      </c>
      <c r="R14" s="568">
        <f>Series!K11</f>
        <v>7</v>
      </c>
      <c r="S14" s="569" t="str">
        <f t="shared" si="5"/>
        <v/>
      </c>
      <c r="T14" s="830">
        <f>Series!L11</f>
        <v>5</v>
      </c>
      <c r="U14" s="567" t="str">
        <f t="shared" si="6"/>
        <v/>
      </c>
      <c r="V14" s="568" t="str">
        <f>Series!M11</f>
        <v/>
      </c>
      <c r="W14" s="569" t="str">
        <f t="shared" si="7"/>
        <v/>
      </c>
      <c r="X14" s="830" t="str">
        <f>Series!N11</f>
        <v/>
      </c>
      <c r="Y14" s="567" t="str">
        <f t="shared" si="8"/>
        <v/>
      </c>
      <c r="Z14" s="568" t="str">
        <f>Series!O11</f>
        <v/>
      </c>
      <c r="AA14" s="569" t="str">
        <f t="shared" si="9"/>
        <v/>
      </c>
      <c r="AB14" s="830" t="str">
        <f>Series!P11</f>
        <v/>
      </c>
      <c r="AC14" s="567" t="str">
        <f t="shared" si="10"/>
        <v/>
      </c>
      <c r="AD14" s="568"/>
      <c r="AE14" s="569"/>
      <c r="AF14" s="290"/>
      <c r="AG14" s="290"/>
    </row>
    <row r="15" spans="1:63" ht="11.25" customHeight="1">
      <c r="A15" s="477">
        <v>10</v>
      </c>
      <c r="B15" s="414">
        <f>Series!C12</f>
        <v>6</v>
      </c>
      <c r="C15" s="482">
        <f t="shared" si="11"/>
        <v>6</v>
      </c>
      <c r="D15" s="559" t="str">
        <f>Series!D12</f>
        <v>Jan Klatovsky</v>
      </c>
      <c r="E15" s="565" t="str">
        <f>IF(D15="","",VLOOKUP($D15,Draw!$B$3:$E$42,3,FALSE))</f>
        <v>ACCR</v>
      </c>
      <c r="F15" s="566" t="str">
        <f>IF(E15="","",VLOOKUP($D15,Draw!$B$3:$E$42,4,FALSE))</f>
        <v>CZR</v>
      </c>
      <c r="G15" s="826">
        <f>Series!E12</f>
        <v>42</v>
      </c>
      <c r="H15" s="606">
        <f>Series!F12</f>
        <v>8</v>
      </c>
      <c r="I15" s="567" t="str">
        <f t="shared" si="0"/>
        <v/>
      </c>
      <c r="J15" s="568">
        <f>Series!G12</f>
        <v>8</v>
      </c>
      <c r="K15" s="569" t="str">
        <f t="shared" si="1"/>
        <v/>
      </c>
      <c r="L15" s="830">
        <f>Series!H12</f>
        <v>5</v>
      </c>
      <c r="M15" s="567" t="str">
        <f t="shared" si="2"/>
        <v/>
      </c>
      <c r="N15" s="568">
        <f>Series!I12</f>
        <v>3</v>
      </c>
      <c r="O15" s="569" t="str">
        <f t="shared" si="3"/>
        <v/>
      </c>
      <c r="P15" s="830">
        <f>Series!J12</f>
        <v>7</v>
      </c>
      <c r="Q15" s="567" t="str">
        <f t="shared" si="4"/>
        <v/>
      </c>
      <c r="R15" s="568">
        <f>Series!K12</f>
        <v>7</v>
      </c>
      <c r="S15" s="569" t="str">
        <f t="shared" si="5"/>
        <v/>
      </c>
      <c r="T15" s="830">
        <f>Series!L12</f>
        <v>4</v>
      </c>
      <c r="U15" s="567" t="str">
        <f t="shared" si="6"/>
        <v/>
      </c>
      <c r="V15" s="568" t="str">
        <f>Series!M12</f>
        <v/>
      </c>
      <c r="W15" s="569" t="str">
        <f t="shared" si="7"/>
        <v/>
      </c>
      <c r="X15" s="830" t="str">
        <f>Series!N12</f>
        <v/>
      </c>
      <c r="Y15" s="567" t="str">
        <f t="shared" si="8"/>
        <v/>
      </c>
      <c r="Z15" s="568" t="str">
        <f>Series!O12</f>
        <v/>
      </c>
      <c r="AA15" s="569" t="str">
        <f t="shared" si="9"/>
        <v/>
      </c>
      <c r="AB15" s="830" t="str">
        <f>Series!P12</f>
        <v/>
      </c>
      <c r="AC15" s="567" t="str">
        <f t="shared" si="10"/>
        <v/>
      </c>
      <c r="AD15" s="568"/>
      <c r="AE15" s="569"/>
      <c r="AF15" s="290"/>
      <c r="AG15" s="290"/>
    </row>
    <row r="16" spans="1:63" ht="11.25" customHeight="1">
      <c r="A16" s="477">
        <v>11</v>
      </c>
      <c r="B16" s="414">
        <f>Series!C13</f>
        <v>16</v>
      </c>
      <c r="C16" s="482">
        <f t="shared" si="11"/>
        <v>16</v>
      </c>
      <c r="D16" s="559" t="str">
        <f>Series!D13</f>
        <v>Nikolay Krasnikov</v>
      </c>
      <c r="E16" s="565" t="str">
        <f>IF(D16="","",VLOOKUP($D16,Draw!$B$3:$E$42,3,FALSE))</f>
        <v>MFR</v>
      </c>
      <c r="F16" s="566" t="str">
        <f>IF(E16="","",VLOOKUP($D16,Draw!$B$3:$E$42,4,FALSE))</f>
        <v>RUS</v>
      </c>
      <c r="G16" s="826">
        <f>Series!E13</f>
        <v>41</v>
      </c>
      <c r="H16" s="606">
        <f>Series!F13</f>
        <v>21</v>
      </c>
      <c r="I16" s="567" t="str">
        <f t="shared" si="0"/>
        <v xml:space="preserve"> (1st)</v>
      </c>
      <c r="J16" s="568">
        <f>Series!G13</f>
        <v>20</v>
      </c>
      <c r="K16" s="569" t="str">
        <f t="shared" si="1"/>
        <v xml:space="preserve"> (1st)</v>
      </c>
      <c r="L16" s="830" t="str">
        <f>Series!H13</f>
        <v/>
      </c>
      <c r="M16" s="567" t="str">
        <f t="shared" si="2"/>
        <v/>
      </c>
      <c r="N16" s="568" t="str">
        <f>Series!I13</f>
        <v/>
      </c>
      <c r="O16" s="569" t="str">
        <f t="shared" si="3"/>
        <v/>
      </c>
      <c r="P16" s="830" t="str">
        <f>Series!J13</f>
        <v/>
      </c>
      <c r="Q16" s="567" t="str">
        <f t="shared" si="4"/>
        <v/>
      </c>
      <c r="R16" s="568" t="str">
        <f>Series!K13</f>
        <v/>
      </c>
      <c r="S16" s="569" t="str">
        <f t="shared" si="5"/>
        <v/>
      </c>
      <c r="T16" s="830" t="str">
        <f>Series!L13</f>
        <v/>
      </c>
      <c r="U16" s="567" t="str">
        <f t="shared" si="6"/>
        <v/>
      </c>
      <c r="V16" s="568" t="str">
        <f>Series!M13</f>
        <v/>
      </c>
      <c r="W16" s="569" t="str">
        <f t="shared" si="7"/>
        <v/>
      </c>
      <c r="X16" s="830" t="str">
        <f>Series!N13</f>
        <v/>
      </c>
      <c r="Y16" s="567" t="str">
        <f t="shared" si="8"/>
        <v/>
      </c>
      <c r="Z16" s="568" t="str">
        <f>Series!O13</f>
        <v/>
      </c>
      <c r="AA16" s="569" t="str">
        <f t="shared" si="9"/>
        <v/>
      </c>
      <c r="AB16" s="830" t="str">
        <f>Series!P13</f>
        <v/>
      </c>
      <c r="AC16" s="567" t="str">
        <f t="shared" si="10"/>
        <v/>
      </c>
      <c r="AD16" s="568"/>
      <c r="AE16" s="569"/>
      <c r="AF16" s="290"/>
      <c r="AG16" s="290"/>
    </row>
    <row r="17" spans="1:60" ht="11.25" customHeight="1">
      <c r="A17" s="477">
        <v>12</v>
      </c>
      <c r="B17" s="414">
        <f>Series!C14</f>
        <v>7</v>
      </c>
      <c r="C17" s="482">
        <f t="shared" si="11"/>
        <v>7</v>
      </c>
      <c r="D17" s="559" t="str">
        <f>Series!D14</f>
        <v>Gunter Bauer</v>
      </c>
      <c r="E17" s="565" t="str">
        <f>IF(D17="","",VLOOKUP($D17,Draw!$B$3:$E$42,3,FALSE))</f>
        <v>DMSB</v>
      </c>
      <c r="F17" s="566" t="str">
        <f>IF(E17="","",VLOOKUP($D17,Draw!$B$3:$E$42,4,FALSE))</f>
        <v>GER</v>
      </c>
      <c r="G17" s="826">
        <f>Series!E14</f>
        <v>36</v>
      </c>
      <c r="H17" s="606">
        <f>Series!F14</f>
        <v>3</v>
      </c>
      <c r="I17" s="567" t="str">
        <f t="shared" si="0"/>
        <v/>
      </c>
      <c r="J17" s="568">
        <f>Series!G14</f>
        <v>6</v>
      </c>
      <c r="K17" s="569" t="str">
        <f t="shared" si="1"/>
        <v/>
      </c>
      <c r="L17" s="830">
        <f>Series!H14</f>
        <v>2</v>
      </c>
      <c r="M17" s="567" t="str">
        <f t="shared" si="2"/>
        <v/>
      </c>
      <c r="N17" s="568">
        <f>Series!I14</f>
        <v>4</v>
      </c>
      <c r="O17" s="569" t="str">
        <f t="shared" si="3"/>
        <v/>
      </c>
      <c r="P17" s="830">
        <f>Series!J14</f>
        <v>4</v>
      </c>
      <c r="Q17" s="567" t="str">
        <f t="shared" si="4"/>
        <v/>
      </c>
      <c r="R17" s="568">
        <f>Series!K14</f>
        <v>8</v>
      </c>
      <c r="S17" s="569" t="str">
        <f t="shared" si="5"/>
        <v/>
      </c>
      <c r="T17" s="830">
        <f>Series!L14</f>
        <v>9</v>
      </c>
      <c r="U17" s="567" t="str">
        <f t="shared" si="6"/>
        <v/>
      </c>
      <c r="V17" s="568" t="str">
        <f>Series!M14</f>
        <v/>
      </c>
      <c r="W17" s="569" t="str">
        <f t="shared" si="7"/>
        <v/>
      </c>
      <c r="X17" s="830" t="str">
        <f>Series!N14</f>
        <v/>
      </c>
      <c r="Y17" s="567" t="str">
        <f t="shared" si="8"/>
        <v/>
      </c>
      <c r="Z17" s="568" t="str">
        <f>Series!O14</f>
        <v/>
      </c>
      <c r="AA17" s="569" t="str">
        <f t="shared" si="9"/>
        <v/>
      </c>
      <c r="AB17" s="830" t="str">
        <f>Series!P14</f>
        <v/>
      </c>
      <c r="AC17" s="567" t="str">
        <f t="shared" si="10"/>
        <v/>
      </c>
      <c r="AD17" s="568"/>
      <c r="AE17" s="569"/>
      <c r="AF17" s="290"/>
      <c r="AG17" s="290"/>
      <c r="BH17" s="604"/>
    </row>
    <row r="18" spans="1:60" ht="11.25" customHeight="1">
      <c r="A18" s="477">
        <v>13</v>
      </c>
      <c r="B18" s="414">
        <f>Series!C15</f>
        <v>12</v>
      </c>
      <c r="C18" s="482">
        <f t="shared" si="11"/>
        <v>12</v>
      </c>
      <c r="D18" s="559" t="str">
        <f>Series!D15</f>
        <v>Hans Weber</v>
      </c>
      <c r="E18" s="565" t="str">
        <f>IF(D18="","",VLOOKUP($D18,Draw!$B$3:$E$42,3,FALSE))</f>
        <v>DMSB</v>
      </c>
      <c r="F18" s="566" t="str">
        <f>IF(E18="","",VLOOKUP($D18,Draw!$B$3:$E$42,4,FALSE))</f>
        <v>GER</v>
      </c>
      <c r="G18" s="826">
        <f>Series!E15</f>
        <v>29</v>
      </c>
      <c r="H18" s="606">
        <f>Series!F15</f>
        <v>4</v>
      </c>
      <c r="I18" s="567" t="str">
        <f t="shared" si="0"/>
        <v/>
      </c>
      <c r="J18" s="568">
        <f>Series!G15</f>
        <v>4</v>
      </c>
      <c r="K18" s="569" t="str">
        <f t="shared" si="1"/>
        <v/>
      </c>
      <c r="L18" s="830">
        <f>Series!H15</f>
        <v>3</v>
      </c>
      <c r="M18" s="567" t="str">
        <f t="shared" si="2"/>
        <v/>
      </c>
      <c r="N18" s="568">
        <f>Series!I15</f>
        <v>4</v>
      </c>
      <c r="O18" s="569" t="str">
        <f t="shared" si="3"/>
        <v/>
      </c>
      <c r="P18" s="830">
        <f>Series!J15</f>
        <v>5</v>
      </c>
      <c r="Q18" s="567" t="str">
        <f t="shared" si="4"/>
        <v/>
      </c>
      <c r="R18" s="568">
        <f>Series!K15</f>
        <v>3</v>
      </c>
      <c r="S18" s="569" t="str">
        <f t="shared" si="5"/>
        <v/>
      </c>
      <c r="T18" s="830">
        <f>Series!L15</f>
        <v>6</v>
      </c>
      <c r="U18" s="567" t="str">
        <f t="shared" si="6"/>
        <v/>
      </c>
      <c r="V18" s="568" t="str">
        <f>Series!M15</f>
        <v/>
      </c>
      <c r="W18" s="569" t="str">
        <f t="shared" si="7"/>
        <v/>
      </c>
      <c r="X18" s="830" t="str">
        <f>Series!N15</f>
        <v/>
      </c>
      <c r="Y18" s="567" t="str">
        <f t="shared" si="8"/>
        <v/>
      </c>
      <c r="Z18" s="568" t="str">
        <f>Series!O15</f>
        <v/>
      </c>
      <c r="AA18" s="569" t="str">
        <f t="shared" si="9"/>
        <v/>
      </c>
      <c r="AB18" s="830" t="str">
        <f>Series!P15</f>
        <v/>
      </c>
      <c r="AC18" s="567" t="str">
        <f t="shared" si="10"/>
        <v/>
      </c>
      <c r="AD18" s="568"/>
      <c r="AE18" s="569"/>
      <c r="AF18" s="290"/>
      <c r="AG18" s="290"/>
    </row>
    <row r="19" spans="1:60" ht="11.25" customHeight="1">
      <c r="A19" s="477">
        <v>14</v>
      </c>
      <c r="B19" s="414">
        <f>Series!C16</f>
        <v>9</v>
      </c>
      <c r="C19" s="482">
        <f t="shared" si="11"/>
        <v>9</v>
      </c>
      <c r="D19" s="559" t="str">
        <f>Series!D16</f>
        <v>Per-Anders Lindstrom</v>
      </c>
      <c r="E19" s="565" t="str">
        <f>IF(D19="","",VLOOKUP($D19,Draw!$B$3:$E$42,3,FALSE))</f>
        <v>SVEMO</v>
      </c>
      <c r="F19" s="566" t="str">
        <f>IF(E19="","",VLOOKUP($D19,Draw!$B$3:$E$42,4,FALSE))</f>
        <v>SWE</v>
      </c>
      <c r="G19" s="826">
        <f>Series!E16</f>
        <v>17</v>
      </c>
      <c r="H19" s="606">
        <f>Series!F16</f>
        <v>0</v>
      </c>
      <c r="I19" s="567" t="str">
        <f t="shared" si="0"/>
        <v/>
      </c>
      <c r="J19" s="568">
        <f>Series!G16</f>
        <v>1</v>
      </c>
      <c r="K19" s="569" t="str">
        <f t="shared" si="1"/>
        <v/>
      </c>
      <c r="L19" s="830">
        <f>Series!H16</f>
        <v>4</v>
      </c>
      <c r="M19" s="567" t="str">
        <f t="shared" si="2"/>
        <v/>
      </c>
      <c r="N19" s="568">
        <f>Series!I16</f>
        <v>5</v>
      </c>
      <c r="O19" s="569" t="str">
        <f t="shared" si="3"/>
        <v/>
      </c>
      <c r="P19" s="830">
        <f>Series!J16</f>
        <v>1</v>
      </c>
      <c r="Q19" s="567" t="str">
        <f t="shared" si="4"/>
        <v/>
      </c>
      <c r="R19" s="568">
        <f>Series!K16</f>
        <v>4</v>
      </c>
      <c r="S19" s="569" t="str">
        <f t="shared" si="5"/>
        <v/>
      </c>
      <c r="T19" s="830">
        <f>Series!L16</f>
        <v>2</v>
      </c>
      <c r="U19" s="567" t="str">
        <f t="shared" si="6"/>
        <v/>
      </c>
      <c r="V19" s="568" t="str">
        <f>Series!M16</f>
        <v/>
      </c>
      <c r="W19" s="569" t="str">
        <f t="shared" si="7"/>
        <v/>
      </c>
      <c r="X19" s="830" t="str">
        <f>Series!N16</f>
        <v/>
      </c>
      <c r="Y19" s="567" t="str">
        <f t="shared" si="8"/>
        <v/>
      </c>
      <c r="Z19" s="568" t="str">
        <f>Series!O16</f>
        <v/>
      </c>
      <c r="AA19" s="569" t="str">
        <f t="shared" si="9"/>
        <v/>
      </c>
      <c r="AB19" s="830" t="str">
        <f>Series!P16</f>
        <v/>
      </c>
      <c r="AC19" s="567" t="str">
        <f t="shared" si="10"/>
        <v/>
      </c>
      <c r="AD19" s="568"/>
      <c r="AE19" s="569"/>
      <c r="AF19" s="290"/>
      <c r="AG19" s="290"/>
    </row>
    <row r="20" spans="1:60" ht="11.25" customHeight="1">
      <c r="A20" s="477">
        <v>15</v>
      </c>
      <c r="B20" s="414">
        <f>Series!C17</f>
        <v>16</v>
      </c>
      <c r="C20" s="482">
        <f t="shared" si="11"/>
        <v>16</v>
      </c>
      <c r="D20" s="559" t="str">
        <f>Series!D17</f>
        <v>Nikita Toloknov</v>
      </c>
      <c r="E20" s="565" t="str">
        <f>IF(D20="","",VLOOKUP($D20,Draw!$B$3:$E$42,3,FALSE))</f>
        <v>MFR</v>
      </c>
      <c r="F20" s="566" t="str">
        <f>IF(E20="","",VLOOKUP($D20,Draw!$B$3:$E$42,4,FALSE))</f>
        <v>RUS</v>
      </c>
      <c r="G20" s="826">
        <f>Series!E17</f>
        <v>16</v>
      </c>
      <c r="H20" s="606" t="str">
        <f>Series!F17</f>
        <v/>
      </c>
      <c r="I20" s="567" t="str">
        <f t="shared" si="0"/>
        <v/>
      </c>
      <c r="J20" s="568" t="str">
        <f>Series!G17</f>
        <v/>
      </c>
      <c r="K20" s="569" t="str">
        <f t="shared" si="1"/>
        <v/>
      </c>
      <c r="L20" s="830">
        <f>Series!H17</f>
        <v>8</v>
      </c>
      <c r="M20" s="567" t="str">
        <f t="shared" si="2"/>
        <v/>
      </c>
      <c r="N20" s="568">
        <f>Series!I17</f>
        <v>8</v>
      </c>
      <c r="O20" s="569" t="str">
        <f t="shared" si="3"/>
        <v/>
      </c>
      <c r="P20" s="830" t="str">
        <f>Series!J17</f>
        <v/>
      </c>
      <c r="Q20" s="567" t="str">
        <f t="shared" si="4"/>
        <v/>
      </c>
      <c r="R20" s="568" t="str">
        <f>Series!K17</f>
        <v/>
      </c>
      <c r="S20" s="569" t="str">
        <f t="shared" si="5"/>
        <v/>
      </c>
      <c r="T20" s="830" t="str">
        <f>Series!L17</f>
        <v/>
      </c>
      <c r="U20" s="567" t="str">
        <f t="shared" si="6"/>
        <v/>
      </c>
      <c r="V20" s="568" t="str">
        <f>Series!M17</f>
        <v/>
      </c>
      <c r="W20" s="569" t="str">
        <f t="shared" si="7"/>
        <v/>
      </c>
      <c r="X20" s="830" t="str">
        <f>Series!N17</f>
        <v/>
      </c>
      <c r="Y20" s="567" t="str">
        <f t="shared" si="8"/>
        <v/>
      </c>
      <c r="Z20" s="568" t="str">
        <f>Series!O17</f>
        <v/>
      </c>
      <c r="AA20" s="569" t="str">
        <f t="shared" si="9"/>
        <v/>
      </c>
      <c r="AB20" s="830" t="str">
        <f>Series!P17</f>
        <v/>
      </c>
      <c r="AC20" s="567" t="str">
        <f t="shared" si="10"/>
        <v/>
      </c>
      <c r="AD20" s="568"/>
      <c r="AE20" s="569"/>
      <c r="AF20" s="290"/>
      <c r="AG20" s="290"/>
    </row>
    <row r="21" spans="1:60" ht="11.25" customHeight="1">
      <c r="A21" s="477">
        <v>16</v>
      </c>
      <c r="B21" s="414">
        <f>Series!C18</f>
        <v>8</v>
      </c>
      <c r="C21" s="482">
        <f t="shared" si="11"/>
        <v>8</v>
      </c>
      <c r="D21" s="559" t="str">
        <f>Series!D18</f>
        <v>Stefan Pletschacher</v>
      </c>
      <c r="E21" s="565" t="str">
        <f>IF(D21="","",VLOOKUP($D21,Draw!$B$3:$E$42,3,FALSE))</f>
        <v>DMSB</v>
      </c>
      <c r="F21" s="566" t="str">
        <f>IF(E21="","",VLOOKUP($D21,Draw!$B$3:$E$42,4,FALSE))</f>
        <v>GER</v>
      </c>
      <c r="G21" s="826">
        <f>Series!E18</f>
        <v>15</v>
      </c>
      <c r="H21" s="606">
        <f>Series!F18</f>
        <v>2</v>
      </c>
      <c r="I21" s="567" t="str">
        <f t="shared" si="0"/>
        <v/>
      </c>
      <c r="J21" s="568">
        <f>Series!G18</f>
        <v>0</v>
      </c>
      <c r="K21" s="569" t="str">
        <f t="shared" si="1"/>
        <v/>
      </c>
      <c r="L21" s="830">
        <f>Series!H18</f>
        <v>3</v>
      </c>
      <c r="M21" s="567" t="str">
        <f t="shared" si="2"/>
        <v/>
      </c>
      <c r="N21" s="568">
        <f>Series!I18</f>
        <v>1</v>
      </c>
      <c r="O21" s="569" t="str">
        <f t="shared" si="3"/>
        <v/>
      </c>
      <c r="P21" s="830">
        <f>Series!J18</f>
        <v>4</v>
      </c>
      <c r="Q21" s="567" t="str">
        <f t="shared" si="4"/>
        <v/>
      </c>
      <c r="R21" s="568">
        <f>Series!K18</f>
        <v>3</v>
      </c>
      <c r="S21" s="569" t="str">
        <f t="shared" si="5"/>
        <v/>
      </c>
      <c r="T21" s="830">
        <f>Series!L18</f>
        <v>2</v>
      </c>
      <c r="U21" s="567" t="str">
        <f t="shared" si="6"/>
        <v/>
      </c>
      <c r="V21" s="568" t="str">
        <f>Series!M18</f>
        <v/>
      </c>
      <c r="W21" s="569" t="str">
        <f t="shared" si="7"/>
        <v/>
      </c>
      <c r="X21" s="830" t="str">
        <f>Series!N18</f>
        <v/>
      </c>
      <c r="Y21" s="567" t="str">
        <f t="shared" si="8"/>
        <v/>
      </c>
      <c r="Z21" s="568" t="str">
        <f>Series!O18</f>
        <v/>
      </c>
      <c r="AA21" s="569" t="str">
        <f t="shared" si="9"/>
        <v/>
      </c>
      <c r="AB21" s="830" t="str">
        <f>Series!P18</f>
        <v/>
      </c>
      <c r="AC21" s="567" t="str">
        <f t="shared" si="10"/>
        <v/>
      </c>
      <c r="AD21" s="568"/>
      <c r="AE21" s="569"/>
      <c r="AF21" s="290"/>
      <c r="AG21" s="290"/>
    </row>
    <row r="22" spans="1:60" ht="11.25" customHeight="1">
      <c r="A22" s="477">
        <v>17</v>
      </c>
      <c r="B22" s="414">
        <f>Series!C19</f>
        <v>13</v>
      </c>
      <c r="C22" s="482">
        <f t="shared" si="11"/>
        <v>13</v>
      </c>
      <c r="D22" s="559" t="str">
        <f>Series!D19</f>
        <v>Mats Jarf</v>
      </c>
      <c r="E22" s="565" t="str">
        <f>IF(D22="","",VLOOKUP($D22,Draw!$B$3:$E$42,3,FALSE))</f>
        <v>SML</v>
      </c>
      <c r="F22" s="566" t="str">
        <f>IF(E22="","",VLOOKUP($D22,Draw!$B$3:$E$42,4,FALSE))</f>
        <v>FIN</v>
      </c>
      <c r="G22" s="826">
        <f>Series!E19</f>
        <v>6</v>
      </c>
      <c r="H22" s="606">
        <f>Series!F19</f>
        <v>3</v>
      </c>
      <c r="I22" s="567" t="str">
        <f t="shared" si="0"/>
        <v/>
      </c>
      <c r="J22" s="568">
        <f>Series!G19</f>
        <v>2</v>
      </c>
      <c r="K22" s="569" t="str">
        <f t="shared" si="1"/>
        <v/>
      </c>
      <c r="L22" s="830">
        <f>Series!H19</f>
        <v>1</v>
      </c>
      <c r="M22" s="567" t="str">
        <f t="shared" si="2"/>
        <v/>
      </c>
      <c r="N22" s="568">
        <f>Series!I19</f>
        <v>0</v>
      </c>
      <c r="O22" s="569" t="str">
        <f t="shared" si="3"/>
        <v/>
      </c>
      <c r="P22" s="830" t="str">
        <f>Series!J19</f>
        <v/>
      </c>
      <c r="Q22" s="567" t="str">
        <f t="shared" si="4"/>
        <v/>
      </c>
      <c r="R22" s="568" t="str">
        <f>Series!K19</f>
        <v/>
      </c>
      <c r="S22" s="569" t="str">
        <f t="shared" si="5"/>
        <v/>
      </c>
      <c r="T22" s="830" t="str">
        <f>Series!L19</f>
        <v/>
      </c>
      <c r="U22" s="567" t="str">
        <f t="shared" si="6"/>
        <v/>
      </c>
      <c r="V22" s="568" t="str">
        <f>Series!M19</f>
        <v/>
      </c>
      <c r="W22" s="569" t="str">
        <f t="shared" si="7"/>
        <v/>
      </c>
      <c r="X22" s="830" t="str">
        <f>Series!N19</f>
        <v/>
      </c>
      <c r="Y22" s="567" t="str">
        <f t="shared" si="8"/>
        <v/>
      </c>
      <c r="Z22" s="568" t="str">
        <f>Series!O19</f>
        <v/>
      </c>
      <c r="AA22" s="569" t="str">
        <f t="shared" si="9"/>
        <v/>
      </c>
      <c r="AB22" s="830" t="str">
        <f>Series!P19</f>
        <v/>
      </c>
      <c r="AC22" s="567" t="str">
        <f t="shared" si="10"/>
        <v/>
      </c>
      <c r="AD22" s="568"/>
      <c r="AE22" s="569"/>
      <c r="AF22" s="290"/>
      <c r="AG22" s="290"/>
    </row>
    <row r="23" spans="1:60" ht="11.25" customHeight="1">
      <c r="A23" s="477">
        <v>18</v>
      </c>
      <c r="B23" s="414">
        <f>Series!C20</f>
        <v>19</v>
      </c>
      <c r="C23" s="482">
        <f t="shared" si="11"/>
        <v>19</v>
      </c>
      <c r="D23" s="559" t="str">
        <f>Series!D20</f>
        <v>Daniel Henderson</v>
      </c>
      <c r="E23" s="565" t="str">
        <f>IF(D23="","",VLOOKUP($D23,Draw!$B$3:$E$42,3,FALSE))</f>
        <v>SVEMO</v>
      </c>
      <c r="F23" s="566" t="str">
        <f>IF(E23="","",VLOOKUP($D23,Draw!$B$3:$E$42,4,FALSE))</f>
        <v>SWE</v>
      </c>
      <c r="G23" s="826">
        <f>Series!E20</f>
        <v>5</v>
      </c>
      <c r="H23" s="606" t="str">
        <f>Series!F20</f>
        <v/>
      </c>
      <c r="I23" s="567" t="str">
        <f t="shared" si="0"/>
        <v/>
      </c>
      <c r="J23" s="568" t="str">
        <f>Series!G20</f>
        <v/>
      </c>
      <c r="K23" s="569" t="str">
        <f t="shared" si="1"/>
        <v/>
      </c>
      <c r="L23" s="830" t="str">
        <f>Series!H20</f>
        <v/>
      </c>
      <c r="M23" s="567" t="str">
        <f t="shared" si="2"/>
        <v/>
      </c>
      <c r="N23" s="568" t="str">
        <f>Series!I20</f>
        <v/>
      </c>
      <c r="O23" s="569" t="str">
        <f t="shared" si="3"/>
        <v/>
      </c>
      <c r="P23" s="830" t="str">
        <f>Series!J20</f>
        <v/>
      </c>
      <c r="Q23" s="567" t="str">
        <f t="shared" si="4"/>
        <v/>
      </c>
      <c r="R23" s="568" t="str">
        <f>Series!K20</f>
        <v/>
      </c>
      <c r="S23" s="569" t="str">
        <f t="shared" si="5"/>
        <v/>
      </c>
      <c r="T23" s="830">
        <f>Series!L20</f>
        <v>5</v>
      </c>
      <c r="U23" s="567" t="str">
        <f t="shared" si="6"/>
        <v/>
      </c>
      <c r="V23" s="568" t="str">
        <f>Series!M20</f>
        <v/>
      </c>
      <c r="W23" s="569" t="str">
        <f t="shared" si="7"/>
        <v/>
      </c>
      <c r="X23" s="830" t="str">
        <f>Series!N20</f>
        <v/>
      </c>
      <c r="Y23" s="567" t="str">
        <f t="shared" si="8"/>
        <v/>
      </c>
      <c r="Z23" s="568" t="str">
        <f>Series!O20</f>
        <v/>
      </c>
      <c r="AA23" s="569" t="str">
        <f t="shared" si="9"/>
        <v/>
      </c>
      <c r="AB23" s="830" t="str">
        <f>Series!P20</f>
        <v/>
      </c>
      <c r="AC23" s="567" t="str">
        <f t="shared" si="10"/>
        <v/>
      </c>
      <c r="AD23" s="568"/>
      <c r="AE23" s="569"/>
      <c r="AF23" s="290"/>
      <c r="AG23" s="290"/>
    </row>
    <row r="24" spans="1:60" ht="11.25" customHeight="1">
      <c r="A24" s="476">
        <v>19</v>
      </c>
      <c r="B24" s="413">
        <f>Series!C21</f>
        <v>16</v>
      </c>
      <c r="C24" s="481">
        <f t="shared" si="11"/>
        <v>16</v>
      </c>
      <c r="D24" s="558" t="str">
        <f>Series!D21</f>
        <v>Vladimir Cheblokov</v>
      </c>
      <c r="E24" s="560" t="str">
        <f>IF(D24="","",VLOOKUP($D24,Draw!$B$3:$E$42,3,FALSE))</f>
        <v>KAMF</v>
      </c>
      <c r="F24" s="561" t="str">
        <f>IF(E24="","",VLOOKUP($D24,Draw!$B$3:$E$42,4,FALSE))</f>
        <v>KAZ</v>
      </c>
      <c r="G24" s="825">
        <f>Series!E21</f>
        <v>2</v>
      </c>
      <c r="H24" s="828" t="str">
        <f>Series!F21</f>
        <v/>
      </c>
      <c r="I24" s="570" t="str">
        <f t="shared" si="0"/>
        <v/>
      </c>
      <c r="J24" s="571" t="str">
        <f>Series!G21</f>
        <v/>
      </c>
      <c r="K24" s="572" t="str">
        <f t="shared" si="1"/>
        <v/>
      </c>
      <c r="L24" s="831" t="str">
        <f>Series!H21</f>
        <v/>
      </c>
      <c r="M24" s="570" t="str">
        <f t="shared" si="2"/>
        <v/>
      </c>
      <c r="N24" s="571" t="str">
        <f>Series!I21</f>
        <v/>
      </c>
      <c r="O24" s="572" t="str">
        <f t="shared" si="3"/>
        <v/>
      </c>
      <c r="P24" s="831">
        <f>Series!J21</f>
        <v>1</v>
      </c>
      <c r="Q24" s="570" t="str">
        <f t="shared" si="4"/>
        <v/>
      </c>
      <c r="R24" s="571">
        <f>Series!K21</f>
        <v>1</v>
      </c>
      <c r="S24" s="572" t="str">
        <f t="shared" si="5"/>
        <v/>
      </c>
      <c r="T24" s="831" t="str">
        <f>Series!L21</f>
        <v/>
      </c>
      <c r="U24" s="570" t="str">
        <f t="shared" si="6"/>
        <v/>
      </c>
      <c r="V24" s="571" t="str">
        <f>Series!M21</f>
        <v/>
      </c>
      <c r="W24" s="572" t="str">
        <f t="shared" si="7"/>
        <v/>
      </c>
      <c r="X24" s="831" t="str">
        <f>Series!N21</f>
        <v/>
      </c>
      <c r="Y24" s="570" t="str">
        <f t="shared" si="8"/>
        <v/>
      </c>
      <c r="Z24" s="571" t="str">
        <f>Series!O21</f>
        <v/>
      </c>
      <c r="AA24" s="572" t="str">
        <f t="shared" si="9"/>
        <v/>
      </c>
      <c r="AB24" s="831" t="str">
        <f>Series!P21</f>
        <v/>
      </c>
      <c r="AC24" s="570" t="str">
        <f t="shared" si="10"/>
        <v/>
      </c>
      <c r="AD24" s="571"/>
      <c r="AE24" s="572"/>
      <c r="AF24" s="290"/>
      <c r="AG24" s="290"/>
    </row>
    <row r="25" spans="1:60" ht="11.25" customHeight="1">
      <c r="A25" s="477">
        <v>20</v>
      </c>
      <c r="B25" s="414">
        <f>Series!C22</f>
        <v>20</v>
      </c>
      <c r="C25" s="482">
        <f t="shared" si="11"/>
        <v>20</v>
      </c>
      <c r="D25" s="559" t="str">
        <f>Series!D22</f>
        <v>Niclas Kallin Svenson</v>
      </c>
      <c r="E25" s="565" t="str">
        <f>IF(D25="","",VLOOKUP($D25,Draw!$B$3:$E$42,3,FALSE))</f>
        <v>SVEMO</v>
      </c>
      <c r="F25" s="566" t="str">
        <f>IF(E25="","",VLOOKUP($D25,Draw!$B$3:$E$42,4,FALSE))</f>
        <v>SWE</v>
      </c>
      <c r="G25" s="826">
        <f>Series!E22</f>
        <v>2</v>
      </c>
      <c r="H25" s="606" t="str">
        <f>Series!F22</f>
        <v/>
      </c>
      <c r="I25" s="567" t="str">
        <f t="shared" si="0"/>
        <v/>
      </c>
      <c r="J25" s="568" t="str">
        <f>Series!G22</f>
        <v/>
      </c>
      <c r="K25" s="569" t="str">
        <f t="shared" si="1"/>
        <v/>
      </c>
      <c r="L25" s="830" t="str">
        <f>Series!H22</f>
        <v/>
      </c>
      <c r="M25" s="567" t="str">
        <f t="shared" si="2"/>
        <v/>
      </c>
      <c r="N25" s="568" t="str">
        <f>Series!I22</f>
        <v/>
      </c>
      <c r="O25" s="569" t="str">
        <f t="shared" si="3"/>
        <v/>
      </c>
      <c r="P25" s="830">
        <f>Series!J22</f>
        <v>2</v>
      </c>
      <c r="Q25" s="567" t="str">
        <f t="shared" si="4"/>
        <v/>
      </c>
      <c r="R25" s="568">
        <f>Series!K22</f>
        <v>0</v>
      </c>
      <c r="S25" s="569" t="str">
        <f t="shared" si="5"/>
        <v/>
      </c>
      <c r="T25" s="830" t="str">
        <f>Series!L22</f>
        <v/>
      </c>
      <c r="U25" s="567" t="str">
        <f t="shared" si="6"/>
        <v/>
      </c>
      <c r="V25" s="568" t="str">
        <f>Series!M22</f>
        <v/>
      </c>
      <c r="W25" s="569" t="str">
        <f t="shared" si="7"/>
        <v/>
      </c>
      <c r="X25" s="830" t="str">
        <f>Series!N22</f>
        <v/>
      </c>
      <c r="Y25" s="567" t="str">
        <f t="shared" si="8"/>
        <v/>
      </c>
      <c r="Z25" s="568" t="str">
        <f>Series!O22</f>
        <v/>
      </c>
      <c r="AA25" s="569" t="str">
        <f t="shared" si="9"/>
        <v/>
      </c>
      <c r="AB25" s="830" t="str">
        <f>Series!P22</f>
        <v/>
      </c>
      <c r="AC25" s="567" t="str">
        <f t="shared" si="10"/>
        <v/>
      </c>
      <c r="AD25" s="568"/>
      <c r="AE25" s="569"/>
      <c r="AF25" s="290"/>
      <c r="AG25" s="290"/>
    </row>
    <row r="26" spans="1:60" ht="11.25" customHeight="1">
      <c r="A26" s="477">
        <v>21</v>
      </c>
      <c r="B26" s="414">
        <f>Series!C23</f>
        <v>17</v>
      </c>
      <c r="C26" s="482">
        <f t="shared" si="11"/>
        <v>17</v>
      </c>
      <c r="D26" s="559" t="str">
        <f>Series!D23</f>
        <v>Pavel Nekrassov</v>
      </c>
      <c r="E26" s="565" t="str">
        <f>IF(D26="","",VLOOKUP($D26,Draw!$B$3:$E$42,3,FALSE))</f>
        <v>KAMF</v>
      </c>
      <c r="F26" s="566" t="str">
        <f>IF(E26="","",VLOOKUP($D26,Draw!$B$3:$E$42,4,FALSE))</f>
        <v>KAZ</v>
      </c>
      <c r="G26" s="826">
        <f>Series!E23</f>
        <v>1</v>
      </c>
      <c r="H26" s="606" t="str">
        <f>Series!F23</f>
        <v/>
      </c>
      <c r="I26" s="567" t="str">
        <f t="shared" si="0"/>
        <v/>
      </c>
      <c r="J26" s="568" t="str">
        <f>Series!G23</f>
        <v/>
      </c>
      <c r="K26" s="569" t="str">
        <f t="shared" si="1"/>
        <v/>
      </c>
      <c r="L26" s="830" t="str">
        <f>Series!H23</f>
        <v/>
      </c>
      <c r="M26" s="567" t="str">
        <f t="shared" si="2"/>
        <v/>
      </c>
      <c r="N26" s="568" t="str">
        <f>Series!I23</f>
        <v/>
      </c>
      <c r="O26" s="569" t="str">
        <f t="shared" si="3"/>
        <v/>
      </c>
      <c r="P26" s="830">
        <f>Series!J23</f>
        <v>1</v>
      </c>
      <c r="Q26" s="567" t="str">
        <f t="shared" si="4"/>
        <v/>
      </c>
      <c r="R26" s="568">
        <f>Series!K23</f>
        <v>0</v>
      </c>
      <c r="S26" s="569" t="str">
        <f t="shared" si="5"/>
        <v/>
      </c>
      <c r="T26" s="830" t="str">
        <f>Series!L23</f>
        <v/>
      </c>
      <c r="U26" s="567" t="str">
        <f t="shared" si="6"/>
        <v/>
      </c>
      <c r="V26" s="568" t="str">
        <f>Series!M23</f>
        <v/>
      </c>
      <c r="W26" s="569" t="str">
        <f t="shared" si="7"/>
        <v/>
      </c>
      <c r="X26" s="830" t="str">
        <f>Series!N23</f>
        <v/>
      </c>
      <c r="Y26" s="567" t="str">
        <f t="shared" si="8"/>
        <v/>
      </c>
      <c r="Z26" s="568" t="str">
        <f>Series!O23</f>
        <v/>
      </c>
      <c r="AA26" s="569" t="str">
        <f t="shared" si="9"/>
        <v/>
      </c>
      <c r="AB26" s="830" t="str">
        <f>Series!P23</f>
        <v/>
      </c>
      <c r="AC26" s="567" t="str">
        <f t="shared" si="10"/>
        <v/>
      </c>
      <c r="AD26" s="568"/>
      <c r="AE26" s="569"/>
      <c r="AF26" s="290"/>
      <c r="AG26" s="290"/>
    </row>
    <row r="27" spans="1:60" ht="11.25" customHeight="1">
      <c r="A27" s="476">
        <v>22</v>
      </c>
      <c r="B27" s="413">
        <f>Series!C24</f>
        <v>18</v>
      </c>
      <c r="C27" s="481">
        <f t="shared" si="11"/>
        <v>18</v>
      </c>
      <c r="D27" s="558" t="str">
        <f>Series!D24</f>
        <v>Ivan Bolshakov</v>
      </c>
      <c r="E27" s="560" t="str">
        <f>IF(D27="","",VLOOKUP($D27,Draw!$B$3:$E$42,3,FALSE))</f>
        <v>MFR</v>
      </c>
      <c r="F27" s="561" t="str">
        <f>IF(E27="","",VLOOKUP($D27,Draw!$B$3:$E$42,4,FALSE))</f>
        <v>RUS</v>
      </c>
      <c r="G27" s="825">
        <f>Series!E24</f>
        <v>1</v>
      </c>
      <c r="H27" s="828" t="str">
        <f>Series!F24</f>
        <v/>
      </c>
      <c r="I27" s="570" t="str">
        <f t="shared" si="0"/>
        <v/>
      </c>
      <c r="J27" s="571" t="str">
        <f>Series!G24</f>
        <v/>
      </c>
      <c r="K27" s="572" t="str">
        <f t="shared" si="1"/>
        <v/>
      </c>
      <c r="L27" s="831">
        <f>Series!H24</f>
        <v>0</v>
      </c>
      <c r="M27" s="570" t="str">
        <f t="shared" si="2"/>
        <v/>
      </c>
      <c r="N27" s="571">
        <f>Series!I24</f>
        <v>1</v>
      </c>
      <c r="O27" s="572" t="str">
        <f t="shared" si="3"/>
        <v/>
      </c>
      <c r="P27" s="831" t="str">
        <f>Series!J24</f>
        <v/>
      </c>
      <c r="Q27" s="570" t="str">
        <f t="shared" si="4"/>
        <v/>
      </c>
      <c r="R27" s="571" t="str">
        <f>Series!K24</f>
        <v/>
      </c>
      <c r="S27" s="572" t="str">
        <f t="shared" si="5"/>
        <v/>
      </c>
      <c r="T27" s="831" t="str">
        <f>Series!L24</f>
        <v/>
      </c>
      <c r="U27" s="570" t="str">
        <f t="shared" si="6"/>
        <v/>
      </c>
      <c r="V27" s="571" t="str">
        <f>Series!M24</f>
        <v/>
      </c>
      <c r="W27" s="572" t="str">
        <f t="shared" si="7"/>
        <v/>
      </c>
      <c r="X27" s="830" t="str">
        <f>Series!N24</f>
        <v/>
      </c>
      <c r="Y27" s="567" t="str">
        <f t="shared" si="8"/>
        <v/>
      </c>
      <c r="Z27" s="568" t="str">
        <f>Series!O24</f>
        <v/>
      </c>
      <c r="AA27" s="569" t="str">
        <f t="shared" si="9"/>
        <v/>
      </c>
      <c r="AB27" s="831" t="str">
        <f>Series!P24</f>
        <v/>
      </c>
      <c r="AC27" s="570" t="str">
        <f t="shared" si="10"/>
        <v/>
      </c>
      <c r="AD27" s="571"/>
      <c r="AE27" s="572"/>
      <c r="AF27" s="290"/>
      <c r="AG27" s="290"/>
    </row>
    <row r="28" spans="1:60" ht="11.25" customHeight="1" thickBot="1">
      <c r="A28" s="477">
        <v>23</v>
      </c>
      <c r="B28" s="414">
        <f>Series!C25</f>
        <v>16</v>
      </c>
      <c r="C28" s="482">
        <f t="shared" si="11"/>
        <v>16</v>
      </c>
      <c r="D28" s="559" t="str">
        <f>Series!D25</f>
        <v>Rene Stellingwerf</v>
      </c>
      <c r="E28" s="565" t="str">
        <f>IF(D28="","",VLOOKUP($D28,Draw!$B$3:$E$42,3,FALSE))</f>
        <v>KMNV</v>
      </c>
      <c r="F28" s="566" t="str">
        <f>IF(E28="","",VLOOKUP($D28,Draw!$B$3:$E$42,4,FALSE))</f>
        <v>NET</v>
      </c>
      <c r="G28" s="826">
        <f>Series!E25</f>
        <v>0</v>
      </c>
      <c r="H28" s="606" t="str">
        <f>Series!F25</f>
        <v/>
      </c>
      <c r="I28" s="567" t="str">
        <f t="shared" si="0"/>
        <v/>
      </c>
      <c r="J28" s="568" t="str">
        <f>Series!G25</f>
        <v/>
      </c>
      <c r="K28" s="569" t="str">
        <f t="shared" si="1"/>
        <v/>
      </c>
      <c r="L28" s="830" t="str">
        <f>Series!H25</f>
        <v/>
      </c>
      <c r="M28" s="567" t="str">
        <f t="shared" si="2"/>
        <v/>
      </c>
      <c r="N28" s="568" t="str">
        <f>Series!I25</f>
        <v/>
      </c>
      <c r="O28" s="569" t="str">
        <f t="shared" si="3"/>
        <v/>
      </c>
      <c r="P28" s="830" t="str">
        <f>Series!J25</f>
        <v/>
      </c>
      <c r="Q28" s="567" t="str">
        <f t="shared" si="4"/>
        <v/>
      </c>
      <c r="R28" s="568" t="str">
        <f>Series!K25</f>
        <v/>
      </c>
      <c r="S28" s="569" t="str">
        <f t="shared" si="5"/>
        <v/>
      </c>
      <c r="T28" s="830">
        <f>Series!L25</f>
        <v>0</v>
      </c>
      <c r="U28" s="567" t="str">
        <f t="shared" si="6"/>
        <v/>
      </c>
      <c r="V28" s="568" t="str">
        <f>Series!M25</f>
        <v/>
      </c>
      <c r="W28" s="569" t="str">
        <f t="shared" si="7"/>
        <v/>
      </c>
      <c r="X28" s="830" t="str">
        <f>Series!N25</f>
        <v/>
      </c>
      <c r="Y28" s="567" t="str">
        <f t="shared" si="8"/>
        <v/>
      </c>
      <c r="Z28" s="568" t="str">
        <f>Series!O25</f>
        <v/>
      </c>
      <c r="AA28" s="569" t="str">
        <f t="shared" si="9"/>
        <v/>
      </c>
      <c r="AB28" s="922" t="str">
        <f>Series!P25</f>
        <v/>
      </c>
      <c r="AC28" s="919" t="str">
        <f t="shared" si="10"/>
        <v/>
      </c>
      <c r="AD28" s="920"/>
      <c r="AE28" s="921"/>
      <c r="AF28" s="290"/>
      <c r="AG28" s="290"/>
    </row>
    <row r="29" spans="1:60" ht="11.25" customHeight="1" thickBot="1">
      <c r="A29" s="477">
        <v>24</v>
      </c>
      <c r="B29" s="478">
        <f>Series!C26</f>
        <v>17</v>
      </c>
      <c r="C29" s="482">
        <f t="shared" si="11"/>
        <v>17</v>
      </c>
      <c r="D29" s="559" t="str">
        <f>Series!D26</f>
        <v>Simon Reitsma</v>
      </c>
      <c r="E29" s="565" t="str">
        <f>IF(D29="","",VLOOKUP($D29,Draw!$B$3:$E$42,3,FALSE))</f>
        <v>KMNV</v>
      </c>
      <c r="F29" s="566" t="str">
        <f>IF(E29="","",VLOOKUP($D29,Draw!$B$3:$E$42,4,FALSE))</f>
        <v>NET</v>
      </c>
      <c r="G29" s="826">
        <f>Series!E26</f>
        <v>0</v>
      </c>
      <c r="H29" s="606" t="str">
        <f>Series!F26</f>
        <v/>
      </c>
      <c r="I29" s="567" t="str">
        <f t="shared" si="0"/>
        <v/>
      </c>
      <c r="J29" s="568" t="str">
        <f>Series!G26</f>
        <v/>
      </c>
      <c r="K29" s="569" t="str">
        <f t="shared" si="1"/>
        <v/>
      </c>
      <c r="L29" s="830" t="str">
        <f>Series!H26</f>
        <v/>
      </c>
      <c r="M29" s="567" t="str">
        <f t="shared" si="2"/>
        <v/>
      </c>
      <c r="N29" s="568" t="str">
        <f>Series!I26</f>
        <v/>
      </c>
      <c r="O29" s="569" t="str">
        <f t="shared" si="3"/>
        <v/>
      </c>
      <c r="P29" s="830" t="str">
        <f>Series!J26</f>
        <v/>
      </c>
      <c r="Q29" s="567" t="str">
        <f t="shared" si="4"/>
        <v/>
      </c>
      <c r="R29" s="568" t="str">
        <f>Series!K26</f>
        <v/>
      </c>
      <c r="S29" s="569" t="str">
        <f t="shared" si="5"/>
        <v/>
      </c>
      <c r="T29" s="830">
        <f>Series!L26</f>
        <v>0</v>
      </c>
      <c r="U29" s="567" t="str">
        <f t="shared" si="6"/>
        <v/>
      </c>
      <c r="V29" s="568" t="str">
        <f>Series!M26</f>
        <v/>
      </c>
      <c r="W29" s="569" t="str">
        <f t="shared" si="7"/>
        <v/>
      </c>
      <c r="X29" s="830" t="str">
        <f>Series!N26</f>
        <v/>
      </c>
      <c r="Y29" s="567" t="str">
        <f t="shared" si="8"/>
        <v/>
      </c>
      <c r="Z29" s="568" t="str">
        <f>Series!O26</f>
        <v/>
      </c>
      <c r="AA29" s="569" t="str">
        <f t="shared" si="9"/>
        <v/>
      </c>
      <c r="AB29" s="831" t="str">
        <f>Series!P26</f>
        <v/>
      </c>
      <c r="AC29" s="570" t="str">
        <f t="shared" si="10"/>
        <v/>
      </c>
      <c r="AD29" s="571"/>
      <c r="AE29" s="572"/>
      <c r="AF29" s="290"/>
      <c r="AG29" s="290"/>
    </row>
    <row r="30" spans="1:60" ht="11.25" customHeight="1">
      <c r="A30" s="476">
        <v>25</v>
      </c>
      <c r="B30" s="413">
        <f>Series!C27</f>
        <v>17</v>
      </c>
      <c r="C30" s="482">
        <f t="shared" si="11"/>
        <v>17</v>
      </c>
      <c r="D30" s="559" t="str">
        <f>Series!D27</f>
        <v>Mikhail Litvinov</v>
      </c>
      <c r="E30" s="565" t="str">
        <f>IF(D30="","",VLOOKUP($D30,Draw!$B$3:$E$42,3,FALSE))</f>
        <v>MFR</v>
      </c>
      <c r="F30" s="566" t="str">
        <f>IF(E30="","",VLOOKUP($D30,Draw!$B$3:$E$42,4,FALSE))</f>
        <v>RUS</v>
      </c>
      <c r="G30" s="826">
        <f>Series!E27</f>
        <v>0</v>
      </c>
      <c r="H30" s="606" t="str">
        <f>Series!F27</f>
        <v/>
      </c>
      <c r="I30" s="567" t="str">
        <f t="shared" si="0"/>
        <v/>
      </c>
      <c r="J30" s="568" t="str">
        <f>Series!G27</f>
        <v/>
      </c>
      <c r="K30" s="569" t="str">
        <f t="shared" si="1"/>
        <v/>
      </c>
      <c r="L30" s="830">
        <f>Series!H27</f>
        <v>0</v>
      </c>
      <c r="M30" s="567" t="str">
        <f t="shared" si="2"/>
        <v/>
      </c>
      <c r="N30" s="568">
        <f>Series!I27</f>
        <v>0</v>
      </c>
      <c r="O30" s="569" t="str">
        <f t="shared" si="3"/>
        <v/>
      </c>
      <c r="P30" s="830" t="str">
        <f>Series!J27</f>
        <v/>
      </c>
      <c r="Q30" s="567" t="str">
        <f t="shared" si="4"/>
        <v/>
      </c>
      <c r="R30" s="568" t="str">
        <f>Series!K27</f>
        <v/>
      </c>
      <c r="S30" s="569" t="str">
        <f t="shared" si="5"/>
        <v/>
      </c>
      <c r="T30" s="830" t="str">
        <f>Series!L27</f>
        <v/>
      </c>
      <c r="U30" s="567" t="str">
        <f t="shared" si="6"/>
        <v/>
      </c>
      <c r="V30" s="568" t="str">
        <f>Series!M27</f>
        <v/>
      </c>
      <c r="W30" s="569" t="str">
        <f t="shared" si="7"/>
        <v/>
      </c>
      <c r="X30" s="830" t="str">
        <f>Series!N27</f>
        <v/>
      </c>
      <c r="Y30" s="567" t="str">
        <f t="shared" si="8"/>
        <v/>
      </c>
      <c r="Z30" s="568" t="str">
        <f>Series!O27</f>
        <v/>
      </c>
      <c r="AA30" s="569" t="str">
        <f t="shared" si="9"/>
        <v/>
      </c>
      <c r="AB30" s="830" t="str">
        <f>Series!P27</f>
        <v/>
      </c>
      <c r="AC30" s="567" t="str">
        <f t="shared" si="10"/>
        <v/>
      </c>
      <c r="AD30" s="568"/>
      <c r="AE30" s="569"/>
      <c r="AF30" s="290"/>
      <c r="AG30" s="290"/>
    </row>
    <row r="31" spans="1:60" ht="11.25" customHeight="1">
      <c r="A31" s="477">
        <v>26</v>
      </c>
      <c r="B31" s="414">
        <f>Series!C28</f>
        <v>17</v>
      </c>
      <c r="C31" s="482">
        <f t="shared" si="11"/>
        <v>17</v>
      </c>
      <c r="D31" s="559" t="str">
        <f>Series!D28</f>
        <v>Sergey Makarov</v>
      </c>
      <c r="E31" s="565" t="str">
        <f>IF(D31="","",VLOOKUP($D31,Draw!$B$3:$E$42,3,FALSE))</f>
        <v>MFR</v>
      </c>
      <c r="F31" s="566" t="str">
        <f>IF(E31="","",VLOOKUP($D31,Draw!$B$3:$E$42,4,FALSE))</f>
        <v>RUS</v>
      </c>
      <c r="G31" s="826">
        <f>Series!E28</f>
        <v>0</v>
      </c>
      <c r="H31" s="606">
        <f>Series!F28</f>
        <v>0</v>
      </c>
      <c r="I31" s="567" t="str">
        <f t="shared" si="0"/>
        <v/>
      </c>
      <c r="J31" s="568">
        <f>Series!G28</f>
        <v>0</v>
      </c>
      <c r="K31" s="569" t="str">
        <f t="shared" si="1"/>
        <v/>
      </c>
      <c r="L31" s="830" t="str">
        <f>Series!H28</f>
        <v/>
      </c>
      <c r="M31" s="567" t="str">
        <f t="shared" si="2"/>
        <v/>
      </c>
      <c r="N31" s="568" t="str">
        <f>Series!I28</f>
        <v/>
      </c>
      <c r="O31" s="569" t="str">
        <f t="shared" si="3"/>
        <v/>
      </c>
      <c r="P31" s="830" t="str">
        <f>Series!J28</f>
        <v/>
      </c>
      <c r="Q31" s="567" t="str">
        <f t="shared" si="4"/>
        <v/>
      </c>
      <c r="R31" s="568" t="str">
        <f>Series!K28</f>
        <v/>
      </c>
      <c r="S31" s="569" t="str">
        <f t="shared" si="5"/>
        <v/>
      </c>
      <c r="T31" s="830" t="str">
        <f>Series!L28</f>
        <v/>
      </c>
      <c r="U31" s="567" t="str">
        <f t="shared" si="6"/>
        <v/>
      </c>
      <c r="V31" s="568" t="str">
        <f>Series!M28</f>
        <v/>
      </c>
      <c r="W31" s="569" t="str">
        <f t="shared" si="7"/>
        <v/>
      </c>
      <c r="X31" s="830" t="str">
        <f>Series!N28</f>
        <v/>
      </c>
      <c r="Y31" s="567" t="str">
        <f t="shared" si="8"/>
        <v/>
      </c>
      <c r="Z31" s="568" t="str">
        <f>Series!O28</f>
        <v/>
      </c>
      <c r="AA31" s="569" t="str">
        <f t="shared" si="9"/>
        <v/>
      </c>
      <c r="AB31" s="830" t="str">
        <f>Series!P28</f>
        <v/>
      </c>
      <c r="AC31" s="567" t="str">
        <f t="shared" si="10"/>
        <v/>
      </c>
      <c r="AD31" s="568"/>
      <c r="AE31" s="569"/>
      <c r="AF31" s="290"/>
      <c r="AG31" s="290"/>
    </row>
    <row r="32" spans="1:60" ht="11.25" customHeight="1">
      <c r="A32" s="477">
        <v>27</v>
      </c>
      <c r="B32" s="414">
        <f>Series!C29</f>
        <v>18</v>
      </c>
      <c r="C32" s="482">
        <f t="shared" si="11"/>
        <v>18</v>
      </c>
      <c r="D32" s="559" t="str">
        <f>Series!D29</f>
        <v>Max Niedermaier</v>
      </c>
      <c r="E32" s="565" t="str">
        <f>IF(D32="","",VLOOKUP($D32,Draw!$B$3:$E$42,3,FALSE))</f>
        <v>DMSB</v>
      </c>
      <c r="F32" s="566" t="str">
        <f>IF(E32="","",VLOOKUP($D32,Draw!$B$3:$E$42,4,FALSE))</f>
        <v>GER</v>
      </c>
      <c r="G32" s="826">
        <f>Series!E29</f>
        <v>0</v>
      </c>
      <c r="H32" s="606" t="str">
        <f>Series!F29</f>
        <v/>
      </c>
      <c r="I32" s="567" t="str">
        <f t="shared" si="0"/>
        <v/>
      </c>
      <c r="J32" s="568" t="str">
        <f>Series!G29</f>
        <v/>
      </c>
      <c r="K32" s="569" t="str">
        <f t="shared" si="1"/>
        <v/>
      </c>
      <c r="L32" s="830" t="str">
        <f>Series!H29</f>
        <v/>
      </c>
      <c r="M32" s="567" t="str">
        <f t="shared" si="2"/>
        <v/>
      </c>
      <c r="N32" s="568" t="str">
        <f>Series!I29</f>
        <v/>
      </c>
      <c r="O32" s="569" t="str">
        <f t="shared" si="3"/>
        <v/>
      </c>
      <c r="P32" s="830" t="str">
        <f>Series!J29</f>
        <v/>
      </c>
      <c r="Q32" s="567" t="str">
        <f t="shared" si="4"/>
        <v/>
      </c>
      <c r="R32" s="568" t="str">
        <f>Series!K29</f>
        <v/>
      </c>
      <c r="S32" s="569" t="str">
        <f t="shared" si="5"/>
        <v/>
      </c>
      <c r="T32" s="830">
        <f>Series!L29</f>
        <v>0</v>
      </c>
      <c r="U32" s="567" t="str">
        <f t="shared" si="6"/>
        <v/>
      </c>
      <c r="V32" s="568" t="str">
        <f>Series!M29</f>
        <v/>
      </c>
      <c r="W32" s="569" t="str">
        <f t="shared" si="7"/>
        <v/>
      </c>
      <c r="X32" s="830" t="str">
        <f>Series!N29</f>
        <v/>
      </c>
      <c r="Y32" s="567" t="str">
        <f t="shared" si="8"/>
        <v/>
      </c>
      <c r="Z32" s="568" t="str">
        <f>Series!O29</f>
        <v/>
      </c>
      <c r="AA32" s="569" t="str">
        <f t="shared" si="9"/>
        <v/>
      </c>
      <c r="AB32" s="830" t="str">
        <f>Series!P29</f>
        <v/>
      </c>
      <c r="AC32" s="567" t="str">
        <f t="shared" si="10"/>
        <v/>
      </c>
      <c r="AD32" s="568"/>
      <c r="AE32" s="569"/>
      <c r="AF32" s="290"/>
      <c r="AG32" s="290"/>
    </row>
    <row r="33" spans="1:35" ht="11.25" customHeight="1">
      <c r="A33" s="477">
        <v>28</v>
      </c>
      <c r="B33" s="414">
        <f>Series!C30</f>
        <v>18</v>
      </c>
      <c r="C33" s="482">
        <f t="shared" si="11"/>
        <v>18</v>
      </c>
      <c r="D33" s="559" t="str">
        <f>Series!D30</f>
        <v>Denis Slepukhin</v>
      </c>
      <c r="E33" s="565" t="str">
        <f>IF(D33="","",VLOOKUP($D33,Draw!$B$3:$E$42,3,FALSE))</f>
        <v>KAMF</v>
      </c>
      <c r="F33" s="566" t="str">
        <f>IF(E33="","",VLOOKUP($D33,Draw!$B$3:$E$42,4,FALSE))</f>
        <v>KAZ</v>
      </c>
      <c r="G33" s="826">
        <f>Series!E30</f>
        <v>0</v>
      </c>
      <c r="H33" s="606" t="str">
        <f>Series!F30</f>
        <v/>
      </c>
      <c r="I33" s="567" t="str">
        <f t="shared" si="0"/>
        <v/>
      </c>
      <c r="J33" s="568" t="str">
        <f>Series!G30</f>
        <v/>
      </c>
      <c r="K33" s="569" t="str">
        <f t="shared" si="1"/>
        <v/>
      </c>
      <c r="L33" s="830" t="str">
        <f>Series!H30</f>
        <v/>
      </c>
      <c r="M33" s="567" t="str">
        <f t="shared" si="2"/>
        <v/>
      </c>
      <c r="N33" s="568" t="str">
        <f>Series!I30</f>
        <v/>
      </c>
      <c r="O33" s="569" t="str">
        <f t="shared" si="3"/>
        <v/>
      </c>
      <c r="P33" s="830">
        <f>Series!J30</f>
        <v>0</v>
      </c>
      <c r="Q33" s="567" t="str">
        <f t="shared" si="4"/>
        <v/>
      </c>
      <c r="R33" s="568">
        <f>Series!K30</f>
        <v>0</v>
      </c>
      <c r="S33" s="569" t="str">
        <f t="shared" si="5"/>
        <v/>
      </c>
      <c r="T33" s="830" t="str">
        <f>Series!L30</f>
        <v/>
      </c>
      <c r="U33" s="567" t="str">
        <f t="shared" si="6"/>
        <v/>
      </c>
      <c r="V33" s="568" t="str">
        <f>Series!M30</f>
        <v/>
      </c>
      <c r="W33" s="569" t="str">
        <f t="shared" si="7"/>
        <v/>
      </c>
      <c r="X33" s="830" t="str">
        <f>Series!N30</f>
        <v/>
      </c>
      <c r="Y33" s="567" t="str">
        <f t="shared" si="8"/>
        <v/>
      </c>
      <c r="Z33" s="568" t="str">
        <f>Series!O30</f>
        <v/>
      </c>
      <c r="AA33" s="569" t="str">
        <f t="shared" si="9"/>
        <v/>
      </c>
      <c r="AB33" s="830" t="str">
        <f>Series!P30</f>
        <v/>
      </c>
      <c r="AC33" s="567" t="str">
        <f t="shared" si="10"/>
        <v/>
      </c>
      <c r="AD33" s="568"/>
      <c r="AE33" s="569"/>
      <c r="AF33" s="290"/>
      <c r="AG33" s="290"/>
    </row>
    <row r="34" spans="1:35" ht="11.25" customHeight="1" thickBot="1">
      <c r="A34" s="477">
        <v>29</v>
      </c>
      <c r="B34" s="414">
        <f>Series!C31</f>
        <v>18</v>
      </c>
      <c r="C34" s="482">
        <f t="shared" si="11"/>
        <v>18</v>
      </c>
      <c r="D34" s="559" t="str">
        <f>Series!D31</f>
        <v>Aleksey Kolganov</v>
      </c>
      <c r="E34" s="565" t="str">
        <f>IF(D34="","",VLOOKUP($D34,Draw!$B$3:$E$42,3,FALSE))</f>
        <v>MFR</v>
      </c>
      <c r="F34" s="566" t="str">
        <f>IF(E34="","",VLOOKUP($D34,Draw!$B$3:$E$42,4,FALSE))</f>
        <v>RUS</v>
      </c>
      <c r="G34" s="826">
        <f>Series!E31</f>
        <v>0</v>
      </c>
      <c r="H34" s="606">
        <f>Series!F31</f>
        <v>0</v>
      </c>
      <c r="I34" s="567" t="str">
        <f t="shared" si="0"/>
        <v/>
      </c>
      <c r="J34" s="568">
        <f>Series!G31</f>
        <v>0</v>
      </c>
      <c r="K34" s="569" t="str">
        <f t="shared" si="1"/>
        <v/>
      </c>
      <c r="L34" s="830" t="str">
        <f>Series!H31</f>
        <v/>
      </c>
      <c r="M34" s="567" t="str">
        <f t="shared" si="2"/>
        <v/>
      </c>
      <c r="N34" s="568" t="str">
        <f>Series!I31</f>
        <v/>
      </c>
      <c r="O34" s="569" t="str">
        <f t="shared" si="3"/>
        <v/>
      </c>
      <c r="P34" s="830" t="str">
        <f>Series!J31</f>
        <v/>
      </c>
      <c r="Q34" s="567" t="str">
        <f t="shared" si="4"/>
        <v/>
      </c>
      <c r="R34" s="568" t="str">
        <f>Series!K31</f>
        <v/>
      </c>
      <c r="S34" s="569" t="str">
        <f t="shared" si="5"/>
        <v/>
      </c>
      <c r="T34" s="830" t="str">
        <f>Series!L31</f>
        <v/>
      </c>
      <c r="U34" s="567" t="str">
        <f t="shared" si="6"/>
        <v/>
      </c>
      <c r="V34" s="568" t="str">
        <f>Series!M31</f>
        <v/>
      </c>
      <c r="W34" s="569" t="str">
        <f t="shared" si="7"/>
        <v/>
      </c>
      <c r="X34" s="830" t="str">
        <f>Series!N31</f>
        <v/>
      </c>
      <c r="Y34" s="567" t="str">
        <f t="shared" si="8"/>
        <v/>
      </c>
      <c r="Z34" s="568" t="str">
        <f>Series!O31</f>
        <v/>
      </c>
      <c r="AA34" s="569" t="str">
        <f t="shared" si="9"/>
        <v/>
      </c>
      <c r="AB34" s="830" t="str">
        <f>Series!P31</f>
        <v/>
      </c>
      <c r="AC34" s="567" t="str">
        <f t="shared" si="10"/>
        <v/>
      </c>
      <c r="AD34" s="568"/>
      <c r="AE34" s="569"/>
      <c r="AF34" s="290"/>
      <c r="AG34" s="290"/>
    </row>
    <row r="35" spans="1:35" ht="11.25" hidden="1" customHeight="1">
      <c r="A35" s="477">
        <v>30</v>
      </c>
      <c r="B35" s="414">
        <f>Series!C32</f>
        <v>21</v>
      </c>
      <c r="C35" s="482">
        <f t="shared" si="11"/>
        <v>21</v>
      </c>
      <c r="D35" s="559" t="str">
        <f>Series!D32</f>
        <v>Jimmy Olsen</v>
      </c>
      <c r="E35" s="565" t="str">
        <f>IF(D35="","",VLOOKUP($D35,Draw!$B$3:$E$42,3,FALSE))</f>
        <v>SVEMO</v>
      </c>
      <c r="F35" s="566" t="str">
        <f>IF(E35="","",VLOOKUP($D35,Draw!$B$3:$E$42,4,FALSE))</f>
        <v>SWE</v>
      </c>
      <c r="G35" s="826" t="str">
        <f>Series!E32</f>
        <v/>
      </c>
      <c r="H35" s="606" t="str">
        <f>Series!F32</f>
        <v/>
      </c>
      <c r="I35" s="567" t="str">
        <f t="shared" si="0"/>
        <v/>
      </c>
      <c r="J35" s="568" t="str">
        <f>Series!G32</f>
        <v/>
      </c>
      <c r="K35" s="569" t="str">
        <f t="shared" si="1"/>
        <v/>
      </c>
      <c r="L35" s="830" t="str">
        <f>Series!H32</f>
        <v/>
      </c>
      <c r="M35" s="567" t="str">
        <f t="shared" si="2"/>
        <v/>
      </c>
      <c r="N35" s="568" t="str">
        <f>Series!I32</f>
        <v/>
      </c>
      <c r="O35" s="569" t="str">
        <f t="shared" si="3"/>
        <v/>
      </c>
      <c r="P35" s="830" t="str">
        <f>Series!J32</f>
        <v/>
      </c>
      <c r="Q35" s="567" t="str">
        <f t="shared" si="4"/>
        <v/>
      </c>
      <c r="R35" s="568" t="str">
        <f>Series!K32</f>
        <v/>
      </c>
      <c r="S35" s="569" t="str">
        <f t="shared" si="5"/>
        <v/>
      </c>
      <c r="T35" s="830" t="str">
        <f>Series!L32</f>
        <v/>
      </c>
      <c r="U35" s="567" t="str">
        <f t="shared" si="6"/>
        <v/>
      </c>
      <c r="V35" s="568" t="str">
        <f>Series!M32</f>
        <v/>
      </c>
      <c r="W35" s="569" t="str">
        <f t="shared" si="7"/>
        <v/>
      </c>
      <c r="X35" s="830" t="str">
        <f>Series!N32</f>
        <v/>
      </c>
      <c r="Y35" s="567" t="str">
        <f t="shared" si="8"/>
        <v/>
      </c>
      <c r="Z35" s="568" t="str">
        <f>Series!O32</f>
        <v/>
      </c>
      <c r="AA35" s="569" t="str">
        <f t="shared" si="9"/>
        <v/>
      </c>
      <c r="AB35" s="830" t="str">
        <f>Series!P32</f>
        <v/>
      </c>
      <c r="AC35" s="567" t="str">
        <f t="shared" si="10"/>
        <v/>
      </c>
      <c r="AD35" s="568"/>
      <c r="AE35" s="569"/>
      <c r="AF35" s="290"/>
      <c r="AG35" s="290"/>
    </row>
    <row r="36" spans="1:35" ht="11.25" hidden="1" customHeight="1">
      <c r="A36" s="477">
        <v>31</v>
      </c>
      <c r="B36" s="414">
        <f>Series!C33</f>
        <v>22</v>
      </c>
      <c r="C36" s="482">
        <f t="shared" si="11"/>
        <v>22</v>
      </c>
      <c r="D36" s="559" t="str">
        <f>Series!D33</f>
        <v>Ove Ledstrom</v>
      </c>
      <c r="E36" s="565" t="str">
        <f>IF(D36="","",VLOOKUP($D36,Draw!$B$3:$E$42,3,FALSE))</f>
        <v>SVEMO</v>
      </c>
      <c r="F36" s="566" t="str">
        <f>IF(E36="","",VLOOKUP($D36,Draw!$B$3:$E$42,4,FALSE))</f>
        <v>SWE</v>
      </c>
      <c r="G36" s="826" t="str">
        <f>Series!E33</f>
        <v/>
      </c>
      <c r="H36" s="606" t="str">
        <f>Series!F33</f>
        <v/>
      </c>
      <c r="I36" s="567" t="str">
        <f t="shared" si="0"/>
        <v/>
      </c>
      <c r="J36" s="568" t="str">
        <f>Series!G33</f>
        <v/>
      </c>
      <c r="K36" s="569" t="str">
        <f t="shared" si="1"/>
        <v/>
      </c>
      <c r="L36" s="830" t="str">
        <f>Series!H33</f>
        <v/>
      </c>
      <c r="M36" s="567" t="str">
        <f t="shared" si="2"/>
        <v/>
      </c>
      <c r="N36" s="568" t="str">
        <f>Series!I33</f>
        <v/>
      </c>
      <c r="O36" s="569" t="str">
        <f t="shared" si="3"/>
        <v/>
      </c>
      <c r="P36" s="830" t="str">
        <f>Series!J33</f>
        <v/>
      </c>
      <c r="Q36" s="567" t="str">
        <f t="shared" si="4"/>
        <v/>
      </c>
      <c r="R36" s="568" t="str">
        <f>Series!K33</f>
        <v/>
      </c>
      <c r="S36" s="569" t="str">
        <f t="shared" si="5"/>
        <v/>
      </c>
      <c r="T36" s="830" t="str">
        <f>Series!L33</f>
        <v/>
      </c>
      <c r="U36" s="567" t="str">
        <f t="shared" si="6"/>
        <v/>
      </c>
      <c r="V36" s="568" t="str">
        <f>Series!M33</f>
        <v/>
      </c>
      <c r="W36" s="569" t="str">
        <f t="shared" si="7"/>
        <v/>
      </c>
      <c r="X36" s="830" t="str">
        <f>Series!N33</f>
        <v/>
      </c>
      <c r="Y36" s="567" t="str">
        <f t="shared" si="8"/>
        <v/>
      </c>
      <c r="Z36" s="568" t="str">
        <f>Series!O33</f>
        <v/>
      </c>
      <c r="AA36" s="569" t="str">
        <f t="shared" si="9"/>
        <v/>
      </c>
      <c r="AB36" s="830" t="str">
        <f>Series!P33</f>
        <v/>
      </c>
      <c r="AC36" s="567" t="str">
        <f t="shared" si="10"/>
        <v/>
      </c>
      <c r="AD36" s="568"/>
      <c r="AE36" s="569"/>
      <c r="AF36" s="290"/>
      <c r="AG36" s="290"/>
    </row>
    <row r="37" spans="1:35" ht="11.25" hidden="1" customHeight="1">
      <c r="A37" s="477">
        <v>32</v>
      </c>
      <c r="B37" s="414">
        <f>Series!C34</f>
        <v>0</v>
      </c>
      <c r="C37" s="482" t="str">
        <f t="shared" si="11"/>
        <v/>
      </c>
      <c r="D37" s="559" t="str">
        <f>Series!D34</f>
        <v>Wild Card / TR 12</v>
      </c>
      <c r="E37" s="565">
        <f>IF(D37="","",VLOOKUP($D37,Draw!$B$3:$E$42,3,FALSE))</f>
        <v>0</v>
      </c>
      <c r="F37" s="566">
        <f>IF(E37="","",VLOOKUP($D37,Draw!$B$3:$E$42,4,FALSE))</f>
        <v>0</v>
      </c>
      <c r="G37" s="826" t="str">
        <f>Series!E34</f>
        <v/>
      </c>
      <c r="H37" s="606" t="str">
        <f>Series!F34</f>
        <v/>
      </c>
      <c r="I37" s="567" t="str">
        <f t="shared" si="0"/>
        <v/>
      </c>
      <c r="J37" s="568" t="str">
        <f>Series!G34</f>
        <v/>
      </c>
      <c r="K37" s="569" t="str">
        <f t="shared" si="1"/>
        <v/>
      </c>
      <c r="L37" s="830" t="str">
        <f>Series!H34</f>
        <v/>
      </c>
      <c r="M37" s="567" t="str">
        <f t="shared" si="2"/>
        <v/>
      </c>
      <c r="N37" s="568" t="str">
        <f>Series!I34</f>
        <v/>
      </c>
      <c r="O37" s="569" t="str">
        <f t="shared" si="3"/>
        <v/>
      </c>
      <c r="P37" s="830" t="str">
        <f>Series!J34</f>
        <v/>
      </c>
      <c r="Q37" s="567" t="str">
        <f t="shared" si="4"/>
        <v/>
      </c>
      <c r="R37" s="568" t="str">
        <f>Series!K34</f>
        <v/>
      </c>
      <c r="S37" s="569" t="str">
        <f t="shared" si="5"/>
        <v/>
      </c>
      <c r="T37" s="830" t="str">
        <f>Series!L34</f>
        <v/>
      </c>
      <c r="U37" s="567" t="str">
        <f t="shared" si="6"/>
        <v/>
      </c>
      <c r="V37" s="568" t="str">
        <f>Series!M34</f>
        <v/>
      </c>
      <c r="W37" s="569" t="str">
        <f t="shared" si="7"/>
        <v/>
      </c>
      <c r="X37" s="830" t="str">
        <f>Series!N34</f>
        <v/>
      </c>
      <c r="Y37" s="567" t="str">
        <f t="shared" si="8"/>
        <v/>
      </c>
      <c r="Z37" s="568" t="str">
        <f>Series!O34</f>
        <v/>
      </c>
      <c r="AA37" s="569" t="str">
        <f t="shared" si="9"/>
        <v/>
      </c>
      <c r="AB37" s="830" t="str">
        <f>Series!P34</f>
        <v/>
      </c>
      <c r="AC37" s="567" t="str">
        <f t="shared" si="10"/>
        <v/>
      </c>
      <c r="AD37" s="568"/>
      <c r="AE37" s="569"/>
      <c r="AF37" s="290"/>
      <c r="AG37" s="290"/>
    </row>
    <row r="38" spans="1:35" ht="11.25" hidden="1" customHeight="1">
      <c r="A38" s="477">
        <v>33</v>
      </c>
      <c r="B38" s="414">
        <f>Series!C35</f>
        <v>0</v>
      </c>
      <c r="C38" s="605" t="str">
        <f t="shared" si="11"/>
        <v/>
      </c>
      <c r="D38" s="559" t="str">
        <f>Series!D35</f>
        <v>Wild Card / TR 13</v>
      </c>
      <c r="E38" s="565">
        <f>IF(D38="","",VLOOKUP($D38,Draw!$B$3:$E$42,3,FALSE))</f>
        <v>0</v>
      </c>
      <c r="F38" s="566">
        <f>IF(E38="","",VLOOKUP($D38,Draw!$B$3:$E$42,4,FALSE))</f>
        <v>0</v>
      </c>
      <c r="G38" s="826" t="str">
        <f>Series!E35</f>
        <v/>
      </c>
      <c r="H38" s="606" t="str">
        <f>Series!F35</f>
        <v/>
      </c>
      <c r="I38" s="567" t="str">
        <f t="shared" ref="I38:I45" si="12">IF($D38=AI$5," (1st)",IF($D38=AI$6," (2nd)",IF($D38=AI$7," (3rd)",IF($D38=AI$8," (4th)",""))))</f>
        <v/>
      </c>
      <c r="J38" s="568" t="str">
        <f>Series!G35</f>
        <v/>
      </c>
      <c r="K38" s="569" t="str">
        <f t="shared" ref="K38:K45" si="13">IF($D38=AK$5," (1st)",IF($D38=AK$6," (2nd)",IF($D38=AK$7," (3rd)",IF($D38=AK$8," (4th)",""))))</f>
        <v/>
      </c>
      <c r="L38" s="830" t="str">
        <f>Series!H35</f>
        <v/>
      </c>
      <c r="M38" s="567" t="str">
        <f t="shared" ref="M38:M45" si="14">IF($D38=AM$5," (1st)",IF($D38=AM$6," (2nd)",IF($D38=AM$7," (3rd)",IF($D38=AM$8," (4th)",""))))</f>
        <v/>
      </c>
      <c r="N38" s="568" t="str">
        <f>Series!I35</f>
        <v/>
      </c>
      <c r="O38" s="569" t="str">
        <f t="shared" ref="O38:O45" si="15">IF($D38=AO$5," (1st)",IF($D38=AO$6," (2nd)",IF($D38=AO$7," (3rd)",IF($D38=AO$8," (4th)",""))))</f>
        <v/>
      </c>
      <c r="P38" s="830" t="str">
        <f>Series!J35</f>
        <v/>
      </c>
      <c r="Q38" s="567" t="str">
        <f t="shared" ref="Q38:Q45" si="16">IF($D38=AQ$5," (1st)",IF($D38=AQ$6," (2nd)",IF($D38=AQ$7," (3rd)",IF($D38=AQ$8," (4th)",""))))</f>
        <v/>
      </c>
      <c r="R38" s="568" t="str">
        <f>Series!K35</f>
        <v/>
      </c>
      <c r="S38" s="569" t="str">
        <f t="shared" ref="S38:S45" si="17">IF($D38=AS$5," (1st)",IF($D38=AS$6," (2nd)",IF($D38=AS$7," (3rd)",IF($D38=AS$8," (4th)",""))))</f>
        <v/>
      </c>
      <c r="T38" s="830" t="str">
        <f>Series!L35</f>
        <v/>
      </c>
      <c r="U38" s="567" t="str">
        <f t="shared" ref="U38:U45" si="18">IF($D38=AU$5," (1st)",IF($D38=AU$6," (2nd)",IF($D38=AU$7," (3rd)",IF($D38=AU$8," (4th)",""))))</f>
        <v/>
      </c>
      <c r="V38" s="568" t="str">
        <f>Series!M35</f>
        <v/>
      </c>
      <c r="W38" s="569" t="str">
        <f t="shared" ref="W38:W45" si="19">IF($D38=AW$5," (1st)",IF($D38=AW$6," (2nd)",IF($D38=AW$7," (3rd)",IF($D38=AW$8," (4th)",""))))</f>
        <v/>
      </c>
      <c r="X38" s="830" t="str">
        <f>Series!N35</f>
        <v/>
      </c>
      <c r="Y38" s="567" t="str">
        <f t="shared" ref="Y38:Y45" si="20">IF($D38=AY$5," (1st)",IF($D38=AY$6," (2nd)",IF($D38=AY$7," (3rd)",IF($D38=AY$8," (4th)",""))))</f>
        <v/>
      </c>
      <c r="Z38" s="568" t="str">
        <f>Series!O35</f>
        <v/>
      </c>
      <c r="AA38" s="569" t="str">
        <f t="shared" ref="AA38:AA45" si="21">IF($D38=BA$5," (1st)",IF($D38=BA$6," (2nd)",IF($D38=BA$7," (3rd)",IF($D38=BA$8," (4th)",""))))</f>
        <v/>
      </c>
      <c r="AB38" s="830" t="str">
        <f>Series!P35</f>
        <v/>
      </c>
      <c r="AC38" s="567" t="str">
        <f t="shared" si="10"/>
        <v/>
      </c>
      <c r="AD38" s="568"/>
      <c r="AE38" s="569"/>
      <c r="AF38" s="290"/>
      <c r="AG38" s="290"/>
    </row>
    <row r="39" spans="1:35" ht="11.25" hidden="1" customHeight="1">
      <c r="A39" s="477">
        <v>34</v>
      </c>
      <c r="B39" s="414">
        <f>Series!C36</f>
        <v>0</v>
      </c>
      <c r="C39" s="605" t="str">
        <f t="shared" si="11"/>
        <v/>
      </c>
      <c r="D39" s="559" t="str">
        <f>Series!D36</f>
        <v>Wild Card / TR 14</v>
      </c>
      <c r="E39" s="565">
        <f>IF(D39="","",VLOOKUP($D39,Draw!$B$3:$E$42,3,FALSE))</f>
        <v>0</v>
      </c>
      <c r="F39" s="566">
        <f>IF(E39="","",VLOOKUP($D39,Draw!$B$3:$E$42,4,FALSE))</f>
        <v>0</v>
      </c>
      <c r="G39" s="826" t="str">
        <f>Series!E36</f>
        <v/>
      </c>
      <c r="H39" s="606" t="str">
        <f>Series!F36</f>
        <v/>
      </c>
      <c r="I39" s="567" t="str">
        <f t="shared" si="12"/>
        <v/>
      </c>
      <c r="J39" s="568" t="str">
        <f>Series!G36</f>
        <v/>
      </c>
      <c r="K39" s="569" t="str">
        <f t="shared" si="13"/>
        <v/>
      </c>
      <c r="L39" s="830" t="str">
        <f>Series!H36</f>
        <v/>
      </c>
      <c r="M39" s="567" t="str">
        <f t="shared" si="14"/>
        <v/>
      </c>
      <c r="N39" s="568" t="str">
        <f>Series!I36</f>
        <v/>
      </c>
      <c r="O39" s="569" t="str">
        <f t="shared" si="15"/>
        <v/>
      </c>
      <c r="P39" s="830" t="str">
        <f>Series!J36</f>
        <v/>
      </c>
      <c r="Q39" s="567" t="str">
        <f t="shared" si="16"/>
        <v/>
      </c>
      <c r="R39" s="568" t="str">
        <f>Series!K36</f>
        <v/>
      </c>
      <c r="S39" s="569" t="str">
        <f t="shared" si="17"/>
        <v/>
      </c>
      <c r="T39" s="830" t="str">
        <f>Series!L36</f>
        <v/>
      </c>
      <c r="U39" s="567" t="str">
        <f t="shared" si="18"/>
        <v/>
      </c>
      <c r="V39" s="568" t="str">
        <f>Series!M36</f>
        <v/>
      </c>
      <c r="W39" s="569" t="str">
        <f t="shared" si="19"/>
        <v/>
      </c>
      <c r="X39" s="830" t="str">
        <f>Series!N36</f>
        <v/>
      </c>
      <c r="Y39" s="567" t="str">
        <f t="shared" si="20"/>
        <v/>
      </c>
      <c r="Z39" s="568" t="str">
        <f>Series!O36</f>
        <v/>
      </c>
      <c r="AA39" s="569" t="str">
        <f t="shared" si="21"/>
        <v/>
      </c>
      <c r="AB39" s="830" t="str">
        <f>Series!P36</f>
        <v/>
      </c>
      <c r="AC39" s="567" t="str">
        <f t="shared" si="10"/>
        <v/>
      </c>
      <c r="AD39" s="568"/>
      <c r="AE39" s="569"/>
      <c r="AF39" s="290"/>
      <c r="AG39" s="290"/>
    </row>
    <row r="40" spans="1:35" ht="11.25" hidden="1" customHeight="1">
      <c r="A40" s="477">
        <v>35</v>
      </c>
      <c r="B40" s="414">
        <f>Series!C37</f>
        <v>0</v>
      </c>
      <c r="C40" s="482" t="str">
        <f t="shared" si="11"/>
        <v/>
      </c>
      <c r="D40" s="559" t="str">
        <f>Series!D37</f>
        <v>Wild Card / TR 15</v>
      </c>
      <c r="E40" s="565">
        <f>IF(D40="","",VLOOKUP($D40,Draw!$B$3:$E$42,3,FALSE))</f>
        <v>0</v>
      </c>
      <c r="F40" s="566">
        <f>IF(E40="","",VLOOKUP($D40,Draw!$B$3:$E$42,4,FALSE))</f>
        <v>0</v>
      </c>
      <c r="G40" s="826" t="str">
        <f>Series!E37</f>
        <v/>
      </c>
      <c r="H40" s="606" t="str">
        <f>Series!F37</f>
        <v/>
      </c>
      <c r="I40" s="567" t="str">
        <f t="shared" si="12"/>
        <v/>
      </c>
      <c r="J40" s="568" t="str">
        <f>Series!G37</f>
        <v/>
      </c>
      <c r="K40" s="569" t="str">
        <f t="shared" si="13"/>
        <v/>
      </c>
      <c r="L40" s="830" t="str">
        <f>Series!H37</f>
        <v/>
      </c>
      <c r="M40" s="567" t="str">
        <f t="shared" si="14"/>
        <v/>
      </c>
      <c r="N40" s="568" t="str">
        <f>Series!I37</f>
        <v/>
      </c>
      <c r="O40" s="569" t="str">
        <f t="shared" si="15"/>
        <v/>
      </c>
      <c r="P40" s="830" t="str">
        <f>Series!J37</f>
        <v/>
      </c>
      <c r="Q40" s="567" t="str">
        <f t="shared" si="16"/>
        <v/>
      </c>
      <c r="R40" s="568" t="str">
        <f>Series!K37</f>
        <v/>
      </c>
      <c r="S40" s="569" t="str">
        <f t="shared" si="17"/>
        <v/>
      </c>
      <c r="T40" s="830" t="str">
        <f>Series!L37</f>
        <v/>
      </c>
      <c r="U40" s="567" t="str">
        <f t="shared" si="18"/>
        <v/>
      </c>
      <c r="V40" s="568" t="str">
        <f>Series!M37</f>
        <v/>
      </c>
      <c r="W40" s="569" t="str">
        <f t="shared" si="19"/>
        <v/>
      </c>
      <c r="X40" s="830" t="str">
        <f>Series!N37</f>
        <v/>
      </c>
      <c r="Y40" s="567" t="str">
        <f t="shared" si="20"/>
        <v/>
      </c>
      <c r="Z40" s="568" t="str">
        <f>Series!O37</f>
        <v/>
      </c>
      <c r="AA40" s="569" t="str">
        <f t="shared" si="21"/>
        <v/>
      </c>
      <c r="AB40" s="830" t="str">
        <f>Series!P37</f>
        <v/>
      </c>
      <c r="AC40" s="567" t="str">
        <f t="shared" si="10"/>
        <v/>
      </c>
      <c r="AD40" s="568"/>
      <c r="AE40" s="569"/>
      <c r="AF40" s="290"/>
      <c r="AG40" s="290"/>
    </row>
    <row r="41" spans="1:35" ht="11.25" hidden="1" customHeight="1">
      <c r="A41" s="477">
        <v>36</v>
      </c>
      <c r="B41" s="414">
        <f>Series!C38</f>
        <v>0</v>
      </c>
      <c r="C41" s="482" t="str">
        <f t="shared" si="11"/>
        <v/>
      </c>
      <c r="D41" s="559" t="str">
        <f>Series!D38</f>
        <v>Wild Card / TR 16</v>
      </c>
      <c r="E41" s="565">
        <f>IF(D41="","",VLOOKUP($D41,Draw!$B$3:$E$42,3,FALSE))</f>
        <v>0</v>
      </c>
      <c r="F41" s="566">
        <f>IF(E41="","",VLOOKUP($D41,Draw!$B$3:$E$42,4,FALSE))</f>
        <v>0</v>
      </c>
      <c r="G41" s="826" t="str">
        <f>Series!E38</f>
        <v/>
      </c>
      <c r="H41" s="606" t="str">
        <f>Series!F38</f>
        <v/>
      </c>
      <c r="I41" s="567" t="str">
        <f t="shared" si="12"/>
        <v/>
      </c>
      <c r="J41" s="568" t="str">
        <f>Series!G38</f>
        <v/>
      </c>
      <c r="K41" s="569" t="str">
        <f t="shared" si="13"/>
        <v/>
      </c>
      <c r="L41" s="830" t="str">
        <f>Series!H38</f>
        <v/>
      </c>
      <c r="M41" s="567" t="str">
        <f t="shared" si="14"/>
        <v/>
      </c>
      <c r="N41" s="568" t="str">
        <f>Series!I38</f>
        <v/>
      </c>
      <c r="O41" s="569" t="str">
        <f t="shared" si="15"/>
        <v/>
      </c>
      <c r="P41" s="830" t="str">
        <f>Series!J38</f>
        <v/>
      </c>
      <c r="Q41" s="567" t="str">
        <f t="shared" si="16"/>
        <v/>
      </c>
      <c r="R41" s="568" t="str">
        <f>Series!K38</f>
        <v/>
      </c>
      <c r="S41" s="569" t="str">
        <f t="shared" si="17"/>
        <v/>
      </c>
      <c r="T41" s="830" t="str">
        <f>Series!L38</f>
        <v/>
      </c>
      <c r="U41" s="567" t="str">
        <f t="shared" si="18"/>
        <v/>
      </c>
      <c r="V41" s="568" t="str">
        <f>Series!M38</f>
        <v/>
      </c>
      <c r="W41" s="569" t="str">
        <f t="shared" si="19"/>
        <v/>
      </c>
      <c r="X41" s="830" t="str">
        <f>Series!N38</f>
        <v/>
      </c>
      <c r="Y41" s="567" t="str">
        <f t="shared" si="20"/>
        <v/>
      </c>
      <c r="Z41" s="568" t="str">
        <f>Series!O38</f>
        <v/>
      </c>
      <c r="AA41" s="569" t="str">
        <f t="shared" si="21"/>
        <v/>
      </c>
      <c r="AB41" s="830" t="str">
        <f>Series!P38</f>
        <v/>
      </c>
      <c r="AC41" s="567" t="str">
        <f t="shared" si="10"/>
        <v/>
      </c>
      <c r="AD41" s="568"/>
      <c r="AE41" s="569"/>
      <c r="AG41" s="604"/>
    </row>
    <row r="42" spans="1:35" ht="11.25" hidden="1" customHeight="1">
      <c r="A42" s="477">
        <v>37</v>
      </c>
      <c r="B42" s="414">
        <f>Series!C39</f>
        <v>0</v>
      </c>
      <c r="C42" s="482" t="str">
        <f t="shared" si="11"/>
        <v/>
      </c>
      <c r="D42" s="559" t="str">
        <f>Series!D39</f>
        <v>Wild Card / TR 17</v>
      </c>
      <c r="E42" s="565">
        <f>IF(D42="","",VLOOKUP($D42,Draw!$B$3:$E$42,3,FALSE))</f>
        <v>0</v>
      </c>
      <c r="F42" s="566">
        <f>IF(E42="","",VLOOKUP($D42,Draw!$B$3:$E$42,4,FALSE))</f>
        <v>0</v>
      </c>
      <c r="G42" s="826" t="str">
        <f>Series!E39</f>
        <v/>
      </c>
      <c r="H42" s="606" t="str">
        <f>Series!F39</f>
        <v/>
      </c>
      <c r="I42" s="567" t="str">
        <f t="shared" si="12"/>
        <v/>
      </c>
      <c r="J42" s="568" t="str">
        <f>Series!G39</f>
        <v/>
      </c>
      <c r="K42" s="569" t="str">
        <f t="shared" si="13"/>
        <v/>
      </c>
      <c r="L42" s="830" t="str">
        <f>Series!H39</f>
        <v/>
      </c>
      <c r="M42" s="567" t="str">
        <f t="shared" si="14"/>
        <v/>
      </c>
      <c r="N42" s="568" t="str">
        <f>Series!I39</f>
        <v/>
      </c>
      <c r="O42" s="569" t="str">
        <f t="shared" si="15"/>
        <v/>
      </c>
      <c r="P42" s="830" t="str">
        <f>Series!J39</f>
        <v/>
      </c>
      <c r="Q42" s="567" t="str">
        <f t="shared" si="16"/>
        <v/>
      </c>
      <c r="R42" s="568" t="str">
        <f>Series!K39</f>
        <v/>
      </c>
      <c r="S42" s="569" t="str">
        <f t="shared" si="17"/>
        <v/>
      </c>
      <c r="T42" s="830" t="str">
        <f>Series!L39</f>
        <v/>
      </c>
      <c r="U42" s="567" t="str">
        <f t="shared" si="18"/>
        <v/>
      </c>
      <c r="V42" s="568" t="str">
        <f>Series!M39</f>
        <v/>
      </c>
      <c r="W42" s="569" t="str">
        <f t="shared" si="19"/>
        <v/>
      </c>
      <c r="X42" s="830" t="str">
        <f>Series!N39</f>
        <v/>
      </c>
      <c r="Y42" s="567" t="str">
        <f t="shared" si="20"/>
        <v/>
      </c>
      <c r="Z42" s="568" t="str">
        <f>Series!O39</f>
        <v/>
      </c>
      <c r="AA42" s="569" t="str">
        <f t="shared" si="21"/>
        <v/>
      </c>
      <c r="AB42" s="830" t="str">
        <f>Series!P39</f>
        <v/>
      </c>
      <c r="AC42" s="567" t="str">
        <f t="shared" si="10"/>
        <v/>
      </c>
      <c r="AD42" s="568"/>
      <c r="AE42" s="569"/>
      <c r="AG42" s="604"/>
    </row>
    <row r="43" spans="1:35" ht="11.25" hidden="1" customHeight="1">
      <c r="A43" s="477">
        <v>38</v>
      </c>
      <c r="B43" s="414">
        <f>Series!C40</f>
        <v>0</v>
      </c>
      <c r="C43" s="482" t="str">
        <f t="shared" si="11"/>
        <v/>
      </c>
      <c r="D43" s="559" t="str">
        <f>Series!D40</f>
        <v>Wild Card / TR 18</v>
      </c>
      <c r="E43" s="565">
        <f>IF(D43="","",VLOOKUP($D43,Draw!$B$3:$E$42,3,FALSE))</f>
        <v>0</v>
      </c>
      <c r="F43" s="566">
        <f>IF(E43="","",VLOOKUP($D43,Draw!$B$3:$E$42,4,FALSE))</f>
        <v>0</v>
      </c>
      <c r="G43" s="826" t="str">
        <f>Series!E40</f>
        <v/>
      </c>
      <c r="H43" s="606" t="str">
        <f>Series!F40</f>
        <v/>
      </c>
      <c r="I43" s="567" t="str">
        <f t="shared" si="12"/>
        <v/>
      </c>
      <c r="J43" s="568" t="str">
        <f>Series!G40</f>
        <v/>
      </c>
      <c r="K43" s="569" t="str">
        <f t="shared" si="13"/>
        <v/>
      </c>
      <c r="L43" s="830" t="str">
        <f>Series!H40</f>
        <v/>
      </c>
      <c r="M43" s="567" t="str">
        <f t="shared" si="14"/>
        <v/>
      </c>
      <c r="N43" s="568" t="str">
        <f>Series!I40</f>
        <v/>
      </c>
      <c r="O43" s="569" t="str">
        <f t="shared" si="15"/>
        <v/>
      </c>
      <c r="P43" s="830" t="str">
        <f>Series!J40</f>
        <v/>
      </c>
      <c r="Q43" s="567" t="str">
        <f t="shared" si="16"/>
        <v/>
      </c>
      <c r="R43" s="568" t="str">
        <f>Series!K40</f>
        <v/>
      </c>
      <c r="S43" s="569" t="str">
        <f t="shared" si="17"/>
        <v/>
      </c>
      <c r="T43" s="830" t="str">
        <f>Series!L40</f>
        <v/>
      </c>
      <c r="U43" s="567" t="str">
        <f t="shared" si="18"/>
        <v/>
      </c>
      <c r="V43" s="568" t="str">
        <f>Series!M40</f>
        <v/>
      </c>
      <c r="W43" s="569" t="str">
        <f t="shared" si="19"/>
        <v/>
      </c>
      <c r="X43" s="830" t="str">
        <f>Series!N40</f>
        <v/>
      </c>
      <c r="Y43" s="567" t="str">
        <f t="shared" si="20"/>
        <v/>
      </c>
      <c r="Z43" s="568" t="str">
        <f>Series!O40</f>
        <v/>
      </c>
      <c r="AA43" s="569" t="str">
        <f t="shared" si="21"/>
        <v/>
      </c>
      <c r="AB43" s="831" t="str">
        <f>Series!P40</f>
        <v/>
      </c>
      <c r="AC43" s="570" t="str">
        <f t="shared" si="10"/>
        <v/>
      </c>
      <c r="AD43" s="571"/>
      <c r="AE43" s="572"/>
    </row>
    <row r="44" spans="1:35" ht="11.25" hidden="1" customHeight="1">
      <c r="A44" s="477">
        <v>39</v>
      </c>
      <c r="B44" s="414">
        <f>Series!C41</f>
        <v>0</v>
      </c>
      <c r="C44" s="482" t="str">
        <f t="shared" si="11"/>
        <v/>
      </c>
      <c r="D44" s="559" t="str">
        <f>Series!D41</f>
        <v>Wild Card / TR 19</v>
      </c>
      <c r="E44" s="565">
        <f>IF(D44="","",VLOOKUP($D44,Draw!$B$3:$E$42,3,FALSE))</f>
        <v>0</v>
      </c>
      <c r="F44" s="566">
        <f>IF(E44="","",VLOOKUP($D44,Draw!$B$3:$E$42,4,FALSE))</f>
        <v>0</v>
      </c>
      <c r="G44" s="826" t="str">
        <f>Series!E41</f>
        <v/>
      </c>
      <c r="H44" s="606" t="str">
        <f>Series!F41</f>
        <v/>
      </c>
      <c r="I44" s="567" t="str">
        <f t="shared" si="12"/>
        <v/>
      </c>
      <c r="J44" s="568" t="str">
        <f>Series!G41</f>
        <v/>
      </c>
      <c r="K44" s="569" t="str">
        <f t="shared" si="13"/>
        <v/>
      </c>
      <c r="L44" s="830" t="str">
        <f>Series!H41</f>
        <v/>
      </c>
      <c r="M44" s="567" t="str">
        <f t="shared" si="14"/>
        <v/>
      </c>
      <c r="N44" s="568" t="str">
        <f>Series!I41</f>
        <v/>
      </c>
      <c r="O44" s="569" t="str">
        <f t="shared" si="15"/>
        <v/>
      </c>
      <c r="P44" s="830" t="str">
        <f>Series!J41</f>
        <v/>
      </c>
      <c r="Q44" s="567" t="str">
        <f t="shared" si="16"/>
        <v/>
      </c>
      <c r="R44" s="568" t="str">
        <f>Series!K41</f>
        <v/>
      </c>
      <c r="S44" s="569" t="str">
        <f t="shared" si="17"/>
        <v/>
      </c>
      <c r="T44" s="830" t="str">
        <f>Series!L41</f>
        <v/>
      </c>
      <c r="U44" s="567" t="str">
        <f t="shared" si="18"/>
        <v/>
      </c>
      <c r="V44" s="568" t="str">
        <f>Series!M41</f>
        <v/>
      </c>
      <c r="W44" s="569" t="str">
        <f t="shared" si="19"/>
        <v/>
      </c>
      <c r="X44" s="830" t="str">
        <f>Series!N41</f>
        <v/>
      </c>
      <c r="Y44" s="567" t="str">
        <f t="shared" si="20"/>
        <v/>
      </c>
      <c r="Z44" s="568" t="str">
        <f>Series!O41</f>
        <v/>
      </c>
      <c r="AA44" s="569" t="str">
        <f t="shared" si="21"/>
        <v/>
      </c>
      <c r="AB44" s="831" t="str">
        <f>Series!P41</f>
        <v/>
      </c>
      <c r="AC44" s="570" t="str">
        <f t="shared" si="10"/>
        <v/>
      </c>
      <c r="AD44" s="571"/>
      <c r="AE44" s="572"/>
    </row>
    <row r="45" spans="1:35" ht="12" hidden="1" thickBot="1">
      <c r="A45" s="477">
        <v>40</v>
      </c>
      <c r="B45" s="414">
        <f>Series!C42</f>
        <v>0</v>
      </c>
      <c r="C45" s="482" t="str">
        <f t="shared" si="11"/>
        <v/>
      </c>
      <c r="D45" s="559" t="str">
        <f>Series!D42</f>
        <v>No Rider</v>
      </c>
      <c r="E45" s="565" t="str">
        <f>IF(D45="","",VLOOKUP($D45,Draw!$B$3:$E$42,3,FALSE))</f>
        <v>-</v>
      </c>
      <c r="F45" s="566" t="str">
        <f>IF(E45="","",VLOOKUP($D45,Draw!$B$3:$E$42,4,FALSE))</f>
        <v>-</v>
      </c>
      <c r="G45" s="826" t="str">
        <f>Series!E42</f>
        <v/>
      </c>
      <c r="H45" s="606" t="str">
        <f>Series!F42</f>
        <v/>
      </c>
      <c r="I45" s="567" t="str">
        <f t="shared" si="12"/>
        <v/>
      </c>
      <c r="J45" s="568" t="str">
        <f>Series!G42</f>
        <v/>
      </c>
      <c r="K45" s="569" t="str">
        <f t="shared" si="13"/>
        <v/>
      </c>
      <c r="L45" s="830" t="str">
        <f>Series!H42</f>
        <v/>
      </c>
      <c r="M45" s="567" t="str">
        <f t="shared" si="14"/>
        <v/>
      </c>
      <c r="N45" s="568" t="str">
        <f>Series!I42</f>
        <v/>
      </c>
      <c r="O45" s="569" t="str">
        <f t="shared" si="15"/>
        <v/>
      </c>
      <c r="P45" s="830" t="str">
        <f>Series!J42</f>
        <v/>
      </c>
      <c r="Q45" s="567" t="str">
        <f t="shared" si="16"/>
        <v/>
      </c>
      <c r="R45" s="568" t="str">
        <f>Series!K42</f>
        <v/>
      </c>
      <c r="S45" s="569" t="str">
        <f t="shared" si="17"/>
        <v/>
      </c>
      <c r="T45" s="830" t="str">
        <f>Series!L42</f>
        <v/>
      </c>
      <c r="U45" s="567" t="str">
        <f t="shared" si="18"/>
        <v/>
      </c>
      <c r="V45" s="568" t="str">
        <f>Series!M42</f>
        <v/>
      </c>
      <c r="W45" s="569" t="str">
        <f t="shared" si="19"/>
        <v/>
      </c>
      <c r="X45" s="830" t="str">
        <f>Series!N42</f>
        <v/>
      </c>
      <c r="Y45" s="567" t="str">
        <f t="shared" si="20"/>
        <v/>
      </c>
      <c r="Z45" s="568" t="str">
        <f>Series!O42</f>
        <v/>
      </c>
      <c r="AA45" s="569" t="str">
        <f t="shared" si="21"/>
        <v/>
      </c>
      <c r="AB45" s="830" t="str">
        <f>Series!P42</f>
        <v/>
      </c>
      <c r="AC45" s="567" t="str">
        <f t="shared" si="10"/>
        <v/>
      </c>
      <c r="AD45" s="568"/>
      <c r="AE45" s="569"/>
    </row>
    <row r="46" spans="1:35" ht="1.9" customHeight="1" thickBot="1">
      <c r="A46" s="993"/>
      <c r="B46" s="994"/>
      <c r="C46" s="994"/>
      <c r="D46" s="995"/>
      <c r="E46" s="995"/>
      <c r="F46" s="995"/>
      <c r="G46" s="996"/>
      <c r="H46" s="994"/>
      <c r="I46" s="994"/>
      <c r="J46" s="994"/>
      <c r="K46" s="994"/>
      <c r="L46" s="995"/>
      <c r="M46" s="995"/>
      <c r="N46" s="995"/>
      <c r="O46" s="995"/>
      <c r="P46" s="995"/>
      <c r="Q46" s="995"/>
      <c r="R46" s="995"/>
      <c r="S46" s="995"/>
      <c r="T46" s="995"/>
      <c r="U46" s="995"/>
      <c r="V46" s="995"/>
      <c r="W46" s="995"/>
      <c r="X46" s="995"/>
      <c r="Y46" s="995"/>
      <c r="Z46" s="995"/>
      <c r="AA46" s="997"/>
      <c r="AB46" s="500"/>
      <c r="AC46" s="475"/>
      <c r="AD46" s="475"/>
      <c r="AE46" s="475"/>
      <c r="AF46" s="501"/>
      <c r="AG46" s="501"/>
      <c r="AH46" s="501"/>
      <c r="AI46" s="501"/>
    </row>
    <row r="47" spans="1:35">
      <c r="D47" s="1356" t="s">
        <v>137</v>
      </c>
      <c r="E47" s="1357"/>
      <c r="G47" s="1359" t="s">
        <v>135</v>
      </c>
      <c r="H47" s="1360"/>
      <c r="I47" s="1360"/>
      <c r="J47" s="1360"/>
      <c r="K47" s="1360"/>
      <c r="L47" s="1361"/>
      <c r="M47" s="501"/>
      <c r="N47" s="501"/>
      <c r="O47" s="501"/>
      <c r="P47" s="501"/>
      <c r="Q47" s="501"/>
      <c r="R47" s="501"/>
      <c r="S47" s="501"/>
      <c r="T47" s="501"/>
      <c r="U47" s="501"/>
      <c r="V47" s="501"/>
      <c r="W47" s="501"/>
      <c r="X47" s="501"/>
      <c r="Y47" s="501"/>
      <c r="Z47" s="501"/>
      <c r="AA47" s="501"/>
      <c r="AB47" s="501"/>
      <c r="AC47" s="501"/>
      <c r="AD47" s="501"/>
      <c r="AE47" s="501"/>
    </row>
    <row r="48" spans="1:35">
      <c r="D48" s="1358"/>
      <c r="E48" s="1357"/>
      <c r="G48" s="1359"/>
      <c r="H48" s="1360"/>
      <c r="I48" s="1360"/>
      <c r="J48" s="1360"/>
      <c r="K48" s="1360"/>
      <c r="L48" s="1361"/>
    </row>
    <row r="49" spans="4:12" ht="10.15" customHeight="1" thickBot="1">
      <c r="D49" s="1358"/>
      <c r="E49" s="1357"/>
      <c r="G49" s="1362"/>
      <c r="H49" s="1363"/>
      <c r="I49" s="1363"/>
      <c r="J49" s="1363"/>
      <c r="K49" s="1363"/>
      <c r="L49" s="1364"/>
    </row>
    <row r="50" spans="4:12" ht="10.15" customHeight="1">
      <c r="D50" s="1347" t="s">
        <v>138</v>
      </c>
      <c r="E50" s="1348"/>
      <c r="F50" s="1349"/>
    </row>
    <row r="51" spans="4:12">
      <c r="D51" s="1350"/>
      <c r="E51" s="1351"/>
      <c r="F51" s="1352"/>
    </row>
    <row r="52" spans="4:12" ht="12" thickBot="1">
      <c r="D52" s="1353"/>
      <c r="E52" s="1354"/>
      <c r="F52" s="1355"/>
    </row>
  </sheetData>
  <sheetProtection password="C331" sheet="1" objects="1" scenarios="1" formatCells="0" formatColumns="0" formatRows="0"/>
  <mergeCells count="27">
    <mergeCell ref="A2:AA2"/>
    <mergeCell ref="C4:C5"/>
    <mergeCell ref="A4:A5"/>
    <mergeCell ref="G4:G5"/>
    <mergeCell ref="A1:AE1"/>
    <mergeCell ref="A3:AE3"/>
    <mergeCell ref="H5:I5"/>
    <mergeCell ref="J5:K5"/>
    <mergeCell ref="L5:M5"/>
    <mergeCell ref="X5:Y5"/>
    <mergeCell ref="N5:O5"/>
    <mergeCell ref="AD5:AE5"/>
    <mergeCell ref="Z5:AA5"/>
    <mergeCell ref="T5:U5"/>
    <mergeCell ref="V5:W5"/>
    <mergeCell ref="AB4:AE4"/>
    <mergeCell ref="D50:F52"/>
    <mergeCell ref="D47:E49"/>
    <mergeCell ref="G47:L49"/>
    <mergeCell ref="AB5:AC5"/>
    <mergeCell ref="P5:Q5"/>
    <mergeCell ref="R5:S5"/>
    <mergeCell ref="H4:K4"/>
    <mergeCell ref="L4:O4"/>
    <mergeCell ref="P4:S4"/>
    <mergeCell ref="T4:W4"/>
    <mergeCell ref="X4:AA4"/>
  </mergeCells>
  <phoneticPr fontId="32" type="noConversion"/>
  <printOptions horizontalCentered="1" verticalCentered="1"/>
  <pageMargins left="0.39370078740157483" right="0.39370078740157483" top="0.19685039370078741" bottom="0.74803149606299213" header="0.19685039370078741" footer="0.39370078740157483"/>
  <pageSetup paperSize="9" orientation="landscape" horizontalDpi="4294967293" verticalDpi="4294967293" r:id="rId1"/>
  <headerFooter>
    <oddHeader>&amp;L&amp;G&amp;R&amp;G</oddHeader>
    <oddFooter>&amp;LCompiled using  KanDysoft Spreadsheet
www.kandysoft.com &amp;C&amp;"MS Sans Serif,Bold"FEDERATION INTERNATIONALE DE MOTOCYCLISME&amp;"MS Sans Serif,Regular"
&amp;8 11 Route Suisse - 1295 Mies \ Switzerland</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election activeCell="B9" sqref="B9"/>
    </sheetView>
  </sheetViews>
  <sheetFormatPr defaultColWidth="11.42578125" defaultRowHeight="12.75"/>
  <sheetData>
    <row r="1" spans="1:3">
      <c r="A1" t="s">
        <v>333</v>
      </c>
    </row>
    <row r="3" spans="1:3">
      <c r="A3" t="s">
        <v>334</v>
      </c>
      <c r="B3" t="s">
        <v>342</v>
      </c>
      <c r="C3" t="s">
        <v>340</v>
      </c>
    </row>
    <row r="4" spans="1:3">
      <c r="A4" t="s">
        <v>335</v>
      </c>
      <c r="B4" t="s">
        <v>336</v>
      </c>
      <c r="C4" t="s">
        <v>340</v>
      </c>
    </row>
    <row r="5" spans="1:3">
      <c r="A5" t="s">
        <v>313</v>
      </c>
      <c r="B5" t="s">
        <v>339</v>
      </c>
      <c r="C5" t="s">
        <v>340</v>
      </c>
    </row>
    <row r="6" spans="1:3">
      <c r="A6" t="s">
        <v>12</v>
      </c>
      <c r="B6" t="s">
        <v>337</v>
      </c>
    </row>
    <row r="7" spans="1:3">
      <c r="A7" t="s">
        <v>338</v>
      </c>
      <c r="B7" t="s">
        <v>341</v>
      </c>
    </row>
    <row r="8" spans="1:3">
      <c r="A8" t="s">
        <v>332</v>
      </c>
      <c r="B8" t="s">
        <v>343</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X56"/>
  <sheetViews>
    <sheetView showGridLines="0" topLeftCell="D1" zoomScale="110" zoomScaleNormal="110" workbookViewId="0">
      <pane ySplit="12" topLeftCell="A13" activePane="bottomLeft" state="frozen"/>
      <selection pane="bottomLeft" activeCell="H15" sqref="H15"/>
    </sheetView>
  </sheetViews>
  <sheetFormatPr defaultColWidth="8.7109375" defaultRowHeight="12.75"/>
  <cols>
    <col min="1" max="1" width="4.7109375" style="774" customWidth="1"/>
    <col min="2" max="2" width="19.28515625" style="775" customWidth="1"/>
    <col min="3" max="3" width="4" style="800" customWidth="1"/>
    <col min="4" max="5" width="8.7109375" style="775"/>
    <col min="6" max="6" width="4.7109375" style="775" customWidth="1"/>
    <col min="7" max="7" width="3.140625" style="775" customWidth="1"/>
    <col min="8" max="8" width="18" style="775" customWidth="1"/>
    <col min="9" max="9" width="3.7109375" style="775" customWidth="1"/>
    <col min="10" max="11" width="8.7109375" style="775"/>
    <col min="12" max="12" width="4.7109375" style="775" customWidth="1"/>
    <col min="13" max="13" width="3.28515625" style="775" customWidth="1"/>
    <col min="14" max="14" width="18" style="775" customWidth="1"/>
    <col min="15" max="15" width="4" style="775" customWidth="1"/>
    <col min="16" max="16" width="7.42578125" style="775" customWidth="1"/>
    <col min="17" max="17" width="7" style="775" customWidth="1"/>
    <col min="18" max="18" width="4.7109375" style="775" customWidth="1"/>
    <col min="19" max="19" width="18.28515625" style="775" customWidth="1"/>
    <col min="20" max="20" width="52.42578125" style="775" customWidth="1"/>
    <col min="21" max="21" width="8.7109375" style="775"/>
    <col min="22" max="24" width="0" style="775" hidden="1" customWidth="1"/>
    <col min="25" max="16384" width="8.7109375" style="775"/>
  </cols>
  <sheetData>
    <row r="1" spans="1:24" ht="13.5" thickBot="1">
      <c r="B1" s="1056" t="s">
        <v>372</v>
      </c>
      <c r="C1" s="1056"/>
      <c r="D1" s="1056"/>
      <c r="E1" s="1056"/>
      <c r="G1" s="1056" t="s">
        <v>243</v>
      </c>
      <c r="H1" s="1056"/>
      <c r="I1" s="1056"/>
      <c r="J1" s="1056"/>
      <c r="K1" s="1056"/>
    </row>
    <row r="2" spans="1:24" ht="13.5" thickBot="1">
      <c r="B2" s="776" t="s">
        <v>2</v>
      </c>
      <c r="C2" s="777" t="s">
        <v>4</v>
      </c>
      <c r="D2" s="778" t="s">
        <v>67</v>
      </c>
      <c r="E2" s="779" t="s">
        <v>68</v>
      </c>
      <c r="G2" s="802" t="s">
        <v>219</v>
      </c>
      <c r="H2" s="803" t="s">
        <v>2</v>
      </c>
      <c r="I2" s="804" t="s">
        <v>4</v>
      </c>
      <c r="J2" s="805" t="s">
        <v>67</v>
      </c>
      <c r="K2" s="806" t="s">
        <v>68</v>
      </c>
      <c r="S2" s="1056" t="s">
        <v>233</v>
      </c>
      <c r="T2" s="1056"/>
    </row>
    <row r="3" spans="1:24" ht="13.9" customHeight="1" thickBot="1">
      <c r="A3" s="774">
        <v>1</v>
      </c>
      <c r="B3" s="784" t="s">
        <v>306</v>
      </c>
      <c r="C3" s="785">
        <v>1</v>
      </c>
      <c r="D3" s="786" t="s">
        <v>287</v>
      </c>
      <c r="E3" s="787" t="s">
        <v>288</v>
      </c>
      <c r="G3" s="807">
        <v>1</v>
      </c>
      <c r="H3" s="821" t="s">
        <v>375</v>
      </c>
      <c r="I3" s="808">
        <f t="shared" ref="I3:I20" si="0">IF(H3="","",VLOOKUP(H3,$B$3:$C$42,2,0))</f>
        <v>9</v>
      </c>
      <c r="J3" s="809" t="str">
        <f t="shared" ref="J3:J18" si="1">IF(H3="","",VLOOKUP(H3,$B$3:$E$42,3,0))</f>
        <v>SVEMO</v>
      </c>
      <c r="K3" s="810" t="str">
        <f t="shared" ref="K3:K18" si="2">IF(H3="","",VLOOKUP(H3,$B$3:$E$42,4,0))</f>
        <v>SWE</v>
      </c>
      <c r="M3" s="1057" t="s">
        <v>235</v>
      </c>
      <c r="N3" s="1058"/>
      <c r="S3" s="788" t="s">
        <v>227</v>
      </c>
      <c r="T3" s="892" t="s">
        <v>358</v>
      </c>
    </row>
    <row r="4" spans="1:24" ht="13.5" thickBot="1">
      <c r="A4" s="774">
        <v>2</v>
      </c>
      <c r="B4" s="789" t="s">
        <v>307</v>
      </c>
      <c r="C4" s="790">
        <v>2</v>
      </c>
      <c r="D4" s="791" t="s">
        <v>287</v>
      </c>
      <c r="E4" s="792" t="s">
        <v>288</v>
      </c>
      <c r="G4" s="811">
        <v>2</v>
      </c>
      <c r="H4" s="822" t="s">
        <v>362</v>
      </c>
      <c r="I4" s="793">
        <f t="shared" si="0"/>
        <v>3</v>
      </c>
      <c r="J4" s="794" t="str">
        <f t="shared" si="1"/>
        <v>MFR</v>
      </c>
      <c r="K4" s="812" t="str">
        <f t="shared" si="2"/>
        <v>RUS</v>
      </c>
      <c r="M4" s="1059"/>
      <c r="N4" s="1060"/>
      <c r="S4" s="788" t="s">
        <v>323</v>
      </c>
      <c r="T4" s="893" t="s">
        <v>389</v>
      </c>
      <c r="V4" s="795">
        <f ca="1">NOW()</f>
        <v>42070.967035300928</v>
      </c>
      <c r="W4" s="795">
        <v>41500.700925925928</v>
      </c>
      <c r="X4" s="775">
        <f ca="1">W4-V4</f>
        <v>-570.26610937499936</v>
      </c>
    </row>
    <row r="5" spans="1:24" ht="13.5" thickBot="1">
      <c r="A5" s="774">
        <v>3</v>
      </c>
      <c r="B5" s="789" t="s">
        <v>362</v>
      </c>
      <c r="C5" s="790">
        <v>3</v>
      </c>
      <c r="D5" s="791" t="s">
        <v>287</v>
      </c>
      <c r="E5" s="792" t="s">
        <v>288</v>
      </c>
      <c r="G5" s="811">
        <v>3</v>
      </c>
      <c r="H5" s="822" t="s">
        <v>254</v>
      </c>
      <c r="I5" s="793">
        <f t="shared" si="0"/>
        <v>10</v>
      </c>
      <c r="J5" s="794" t="str">
        <f t="shared" si="1"/>
        <v>OeAMTC</v>
      </c>
      <c r="K5" s="812" t="str">
        <f t="shared" si="2"/>
        <v>AUS</v>
      </c>
      <c r="M5" s="1061"/>
      <c r="N5" s="1062"/>
      <c r="S5" s="788" t="s">
        <v>228</v>
      </c>
      <c r="T5" s="893">
        <v>4</v>
      </c>
    </row>
    <row r="6" spans="1:24" ht="13.5" thickBot="1">
      <c r="A6" s="774">
        <v>4</v>
      </c>
      <c r="B6" s="789" t="s">
        <v>302</v>
      </c>
      <c r="C6" s="790">
        <v>4</v>
      </c>
      <c r="D6" s="791" t="s">
        <v>287</v>
      </c>
      <c r="E6" s="792" t="s">
        <v>288</v>
      </c>
      <c r="G6" s="811">
        <v>4</v>
      </c>
      <c r="H6" s="822" t="s">
        <v>257</v>
      </c>
      <c r="I6" s="793">
        <f t="shared" si="0"/>
        <v>6</v>
      </c>
      <c r="J6" s="794" t="str">
        <f t="shared" si="1"/>
        <v>ACCR</v>
      </c>
      <c r="K6" s="812" t="str">
        <f t="shared" si="2"/>
        <v>CZR</v>
      </c>
      <c r="S6" s="788" t="s">
        <v>103</v>
      </c>
      <c r="T6" s="893" t="s">
        <v>285</v>
      </c>
    </row>
    <row r="7" spans="1:24" ht="13.5" thickBot="1">
      <c r="A7" s="774">
        <v>5</v>
      </c>
      <c r="B7" s="789" t="s">
        <v>255</v>
      </c>
      <c r="C7" s="790">
        <v>5</v>
      </c>
      <c r="D7" s="791" t="s">
        <v>64</v>
      </c>
      <c r="E7" s="792" t="s">
        <v>65</v>
      </c>
      <c r="G7" s="811">
        <v>5</v>
      </c>
      <c r="H7" s="822" t="s">
        <v>365</v>
      </c>
      <c r="I7" s="793">
        <f t="shared" si="0"/>
        <v>14</v>
      </c>
      <c r="J7" s="794" t="str">
        <f t="shared" si="1"/>
        <v>ACCR</v>
      </c>
      <c r="K7" s="812" t="str">
        <f t="shared" si="2"/>
        <v>CZR</v>
      </c>
      <c r="S7" s="788" t="s">
        <v>133</v>
      </c>
      <c r="T7" s="893" t="s">
        <v>390</v>
      </c>
    </row>
    <row r="8" spans="1:24" ht="13.5" thickBot="1">
      <c r="A8" s="774">
        <v>6</v>
      </c>
      <c r="B8" s="789" t="s">
        <v>257</v>
      </c>
      <c r="C8" s="790">
        <v>6</v>
      </c>
      <c r="D8" s="791" t="s">
        <v>311</v>
      </c>
      <c r="E8" s="792" t="s">
        <v>303</v>
      </c>
      <c r="G8" s="811">
        <v>6</v>
      </c>
      <c r="H8" s="822" t="s">
        <v>397</v>
      </c>
      <c r="I8" s="793">
        <f t="shared" si="0"/>
        <v>16</v>
      </c>
      <c r="J8" s="794" t="str">
        <f t="shared" si="1"/>
        <v>KMNV</v>
      </c>
      <c r="K8" s="812" t="str">
        <f t="shared" si="2"/>
        <v>NET</v>
      </c>
      <c r="S8" s="788" t="s">
        <v>249</v>
      </c>
      <c r="T8" s="893" t="s">
        <v>391</v>
      </c>
    </row>
    <row r="9" spans="1:24" ht="13.5" thickBot="1">
      <c r="A9" s="774">
        <v>7</v>
      </c>
      <c r="B9" s="789" t="s">
        <v>374</v>
      </c>
      <c r="C9" s="790">
        <v>7</v>
      </c>
      <c r="D9" s="791" t="s">
        <v>229</v>
      </c>
      <c r="E9" s="792" t="s">
        <v>230</v>
      </c>
      <c r="G9" s="811">
        <v>7</v>
      </c>
      <c r="H9" s="822" t="s">
        <v>302</v>
      </c>
      <c r="I9" s="793">
        <f t="shared" si="0"/>
        <v>4</v>
      </c>
      <c r="J9" s="794" t="str">
        <f t="shared" si="1"/>
        <v>MFR</v>
      </c>
      <c r="K9" s="812" t="str">
        <f t="shared" si="2"/>
        <v>RUS</v>
      </c>
      <c r="S9" s="788" t="s">
        <v>250</v>
      </c>
      <c r="T9" s="893" t="s">
        <v>392</v>
      </c>
    </row>
    <row r="10" spans="1:24" ht="13.5" thickBot="1">
      <c r="A10" s="774">
        <v>8</v>
      </c>
      <c r="B10" s="789" t="s">
        <v>256</v>
      </c>
      <c r="C10" s="790">
        <v>8</v>
      </c>
      <c r="D10" s="791" t="s">
        <v>229</v>
      </c>
      <c r="E10" s="792" t="s">
        <v>230</v>
      </c>
      <c r="G10" s="811">
        <v>8</v>
      </c>
      <c r="H10" s="822" t="s">
        <v>374</v>
      </c>
      <c r="I10" s="793">
        <f t="shared" si="0"/>
        <v>7</v>
      </c>
      <c r="J10" s="794" t="str">
        <f t="shared" si="1"/>
        <v>DMSB</v>
      </c>
      <c r="K10" s="812" t="str">
        <f t="shared" si="2"/>
        <v>GER</v>
      </c>
      <c r="S10" s="788" t="s">
        <v>220</v>
      </c>
      <c r="T10" s="893" t="s">
        <v>393</v>
      </c>
    </row>
    <row r="11" spans="1:24" ht="12.75" customHeight="1" thickBot="1">
      <c r="A11" s="774">
        <v>9</v>
      </c>
      <c r="B11" s="789" t="s">
        <v>375</v>
      </c>
      <c r="C11" s="790">
        <v>9</v>
      </c>
      <c r="D11" s="791" t="s">
        <v>64</v>
      </c>
      <c r="E11" s="792" t="s">
        <v>65</v>
      </c>
      <c r="G11" s="811">
        <v>9</v>
      </c>
      <c r="H11" s="822" t="s">
        <v>306</v>
      </c>
      <c r="I11" s="793">
        <f t="shared" si="0"/>
        <v>1</v>
      </c>
      <c r="J11" s="794" t="str">
        <f t="shared" si="1"/>
        <v>MFR</v>
      </c>
      <c r="K11" s="812" t="str">
        <f t="shared" si="2"/>
        <v>RUS</v>
      </c>
      <c r="S11" s="788" t="s">
        <v>232</v>
      </c>
      <c r="T11" s="893" t="s">
        <v>395</v>
      </c>
    </row>
    <row r="12" spans="1:24" ht="13.5" thickBot="1">
      <c r="A12" s="774">
        <v>10</v>
      </c>
      <c r="B12" s="789" t="s">
        <v>254</v>
      </c>
      <c r="C12" s="790">
        <v>10</v>
      </c>
      <c r="D12" s="791" t="s">
        <v>308</v>
      </c>
      <c r="E12" s="792" t="s">
        <v>371</v>
      </c>
      <c r="G12" s="811">
        <v>10</v>
      </c>
      <c r="H12" s="822" t="s">
        <v>363</v>
      </c>
      <c r="I12" s="793">
        <f t="shared" si="0"/>
        <v>12</v>
      </c>
      <c r="J12" s="801" t="str">
        <f t="shared" si="1"/>
        <v>DMSB</v>
      </c>
      <c r="K12" s="812" t="str">
        <f t="shared" si="2"/>
        <v>GER</v>
      </c>
      <c r="S12" s="788" t="s">
        <v>312</v>
      </c>
      <c r="T12" s="893" t="s">
        <v>394</v>
      </c>
    </row>
    <row r="13" spans="1:24" ht="13.5" thickBot="1">
      <c r="A13" s="774">
        <v>11</v>
      </c>
      <c r="B13" s="789" t="s">
        <v>305</v>
      </c>
      <c r="C13" s="790">
        <v>11</v>
      </c>
      <c r="D13" s="791" t="s">
        <v>287</v>
      </c>
      <c r="E13" s="792" t="s">
        <v>288</v>
      </c>
      <c r="G13" s="811">
        <v>11</v>
      </c>
      <c r="H13" s="822" t="s">
        <v>304</v>
      </c>
      <c r="I13" s="793">
        <f t="shared" si="0"/>
        <v>15</v>
      </c>
      <c r="J13" s="801" t="str">
        <f t="shared" si="1"/>
        <v>OeAMTC</v>
      </c>
      <c r="K13" s="812" t="str">
        <f t="shared" si="2"/>
        <v>AUS</v>
      </c>
      <c r="M13" s="1064" t="s">
        <v>236</v>
      </c>
      <c r="N13" s="1064"/>
      <c r="O13" s="1064"/>
      <c r="P13" s="1064"/>
    </row>
    <row r="14" spans="1:24" ht="13.5" thickBot="1">
      <c r="A14" s="774">
        <v>12</v>
      </c>
      <c r="B14" s="789" t="s">
        <v>363</v>
      </c>
      <c r="C14" s="790">
        <v>12</v>
      </c>
      <c r="D14" s="791" t="s">
        <v>229</v>
      </c>
      <c r="E14" s="792" t="s">
        <v>230</v>
      </c>
      <c r="G14" s="811">
        <v>12</v>
      </c>
      <c r="H14" s="822" t="s">
        <v>305</v>
      </c>
      <c r="I14" s="793">
        <f t="shared" si="0"/>
        <v>11</v>
      </c>
      <c r="J14" s="794" t="str">
        <f t="shared" si="1"/>
        <v>MFR</v>
      </c>
      <c r="K14" s="812" t="str">
        <f t="shared" si="2"/>
        <v>RUS</v>
      </c>
      <c r="M14" s="1064"/>
      <c r="N14" s="1064"/>
      <c r="O14" s="1064"/>
      <c r="P14" s="1064"/>
    </row>
    <row r="15" spans="1:24" ht="13.5" thickBot="1">
      <c r="A15" s="774">
        <v>13</v>
      </c>
      <c r="B15" s="789" t="s">
        <v>364</v>
      </c>
      <c r="C15" s="790">
        <v>13</v>
      </c>
      <c r="D15" s="791" t="s">
        <v>226</v>
      </c>
      <c r="E15" s="792" t="s">
        <v>231</v>
      </c>
      <c r="G15" s="811">
        <v>13</v>
      </c>
      <c r="H15" s="822" t="s">
        <v>366</v>
      </c>
      <c r="I15" s="793">
        <f t="shared" si="0"/>
        <v>19</v>
      </c>
      <c r="J15" s="794" t="str">
        <f t="shared" si="1"/>
        <v>SVEMO</v>
      </c>
      <c r="K15" s="812" t="str">
        <f t="shared" si="2"/>
        <v>SWE</v>
      </c>
      <c r="M15" s="1064"/>
      <c r="N15" s="1064"/>
      <c r="O15" s="1064"/>
      <c r="P15" s="1064"/>
      <c r="T15" s="1063" t="s">
        <v>234</v>
      </c>
    </row>
    <row r="16" spans="1:24" ht="13.5" thickBot="1">
      <c r="A16" s="774">
        <v>14</v>
      </c>
      <c r="B16" s="789" t="s">
        <v>365</v>
      </c>
      <c r="C16" s="790">
        <v>14</v>
      </c>
      <c r="D16" s="791" t="s">
        <v>311</v>
      </c>
      <c r="E16" s="792" t="s">
        <v>303</v>
      </c>
      <c r="G16" s="811">
        <v>14</v>
      </c>
      <c r="H16" s="822" t="s">
        <v>256</v>
      </c>
      <c r="I16" s="793">
        <f t="shared" si="0"/>
        <v>8</v>
      </c>
      <c r="J16" s="794" t="str">
        <f t="shared" si="1"/>
        <v>DMSB</v>
      </c>
      <c r="K16" s="812" t="str">
        <f t="shared" si="2"/>
        <v>GER</v>
      </c>
      <c r="T16" s="1063"/>
    </row>
    <row r="17" spans="1:20" ht="12.75" customHeight="1">
      <c r="A17" s="774">
        <v>15</v>
      </c>
      <c r="B17" s="789" t="s">
        <v>304</v>
      </c>
      <c r="C17" s="790">
        <v>15</v>
      </c>
      <c r="D17" s="791" t="s">
        <v>308</v>
      </c>
      <c r="E17" s="792" t="s">
        <v>371</v>
      </c>
      <c r="G17" s="811">
        <v>15</v>
      </c>
      <c r="H17" s="822" t="s">
        <v>307</v>
      </c>
      <c r="I17" s="793">
        <f t="shared" si="0"/>
        <v>2</v>
      </c>
      <c r="J17" s="794" t="str">
        <f t="shared" si="1"/>
        <v>MFR</v>
      </c>
      <c r="K17" s="812" t="str">
        <f t="shared" si="2"/>
        <v>RUS</v>
      </c>
    </row>
    <row r="18" spans="1:20" ht="12.75" customHeight="1" thickBot="1">
      <c r="A18" s="774">
        <v>16</v>
      </c>
      <c r="B18" s="789" t="s">
        <v>373</v>
      </c>
      <c r="C18" s="790">
        <v>16</v>
      </c>
      <c r="D18" s="791" t="s">
        <v>287</v>
      </c>
      <c r="E18" s="792" t="s">
        <v>288</v>
      </c>
      <c r="G18" s="813">
        <v>16</v>
      </c>
      <c r="H18" s="823" t="s">
        <v>255</v>
      </c>
      <c r="I18" s="814">
        <f t="shared" si="0"/>
        <v>5</v>
      </c>
      <c r="J18" s="815" t="str">
        <f t="shared" si="1"/>
        <v>SVEMO</v>
      </c>
      <c r="K18" s="816" t="str">
        <f t="shared" si="2"/>
        <v>SWE</v>
      </c>
    </row>
    <row r="19" spans="1:20" ht="12.75" customHeight="1">
      <c r="A19" s="774">
        <v>17</v>
      </c>
      <c r="B19" s="789" t="s">
        <v>376</v>
      </c>
      <c r="C19" s="790">
        <v>17</v>
      </c>
      <c r="D19" s="791" t="s">
        <v>287</v>
      </c>
      <c r="E19" s="792" t="s">
        <v>288</v>
      </c>
      <c r="G19" s="817">
        <v>17</v>
      </c>
      <c r="H19" s="824" t="s">
        <v>398</v>
      </c>
      <c r="I19" s="818">
        <f t="shared" si="0"/>
        <v>17</v>
      </c>
      <c r="J19" s="819" t="str">
        <f>IF(H19="","",VLOOKUP(H19,$B$3:$E$42,3,0))</f>
        <v>KMNV</v>
      </c>
      <c r="K19" s="820" t="str">
        <f>IF(H19="","",VLOOKUP(H19,$B$3:$E$42,4,0))</f>
        <v>NET</v>
      </c>
    </row>
    <row r="20" spans="1:20" ht="12.75" customHeight="1" thickBot="1">
      <c r="A20" s="774">
        <v>18</v>
      </c>
      <c r="B20" s="789" t="s">
        <v>377</v>
      </c>
      <c r="C20" s="790">
        <v>18</v>
      </c>
      <c r="D20" s="791" t="s">
        <v>287</v>
      </c>
      <c r="E20" s="792" t="s">
        <v>288</v>
      </c>
      <c r="G20" s="813">
        <v>18</v>
      </c>
      <c r="H20" s="823" t="s">
        <v>289</v>
      </c>
      <c r="I20" s="814">
        <f t="shared" si="0"/>
        <v>18</v>
      </c>
      <c r="J20" s="815" t="str">
        <f>IF(H20="","",VLOOKUP(H20,$B$3:$E$42,3,0))</f>
        <v>DMSB</v>
      </c>
      <c r="K20" s="816" t="str">
        <f>IF(H20="","",VLOOKUP(H20,$B$3:$E$42,4,0))</f>
        <v>GER</v>
      </c>
    </row>
    <row r="21" spans="1:20" ht="12.75" customHeight="1" thickBot="1">
      <c r="A21" s="774">
        <v>19</v>
      </c>
      <c r="B21" s="789" t="s">
        <v>366</v>
      </c>
      <c r="C21" s="790">
        <v>19</v>
      </c>
      <c r="D21" s="791" t="s">
        <v>64</v>
      </c>
      <c r="E21" s="792" t="s">
        <v>65</v>
      </c>
      <c r="G21"/>
      <c r="H21"/>
      <c r="I21"/>
      <c r="J21"/>
      <c r="K21"/>
    </row>
    <row r="22" spans="1:20" ht="12.75" customHeight="1" thickBot="1">
      <c r="A22" s="774">
        <v>20</v>
      </c>
      <c r="B22" s="789" t="s">
        <v>367</v>
      </c>
      <c r="C22" s="790">
        <v>20</v>
      </c>
      <c r="D22" s="791" t="s">
        <v>64</v>
      </c>
      <c r="E22" s="792" t="s">
        <v>65</v>
      </c>
      <c r="G22" s="1056" t="s">
        <v>244</v>
      </c>
      <c r="H22" s="1056"/>
      <c r="I22" s="1056"/>
      <c r="J22" s="1056"/>
      <c r="K22" s="1056"/>
      <c r="M22" s="1056" t="s">
        <v>245</v>
      </c>
      <c r="N22" s="1056"/>
      <c r="O22" s="1056"/>
      <c r="P22" s="1056"/>
      <c r="Q22" s="1056"/>
      <c r="S22" s="1050" t="s">
        <v>396</v>
      </c>
      <c r="T22" s="1051"/>
    </row>
    <row r="23" spans="1:20" ht="12.75" customHeight="1" thickBot="1">
      <c r="A23" s="774">
        <v>21</v>
      </c>
      <c r="B23" s="789" t="s">
        <v>368</v>
      </c>
      <c r="C23" s="790">
        <v>21</v>
      </c>
      <c r="D23" s="791" t="s">
        <v>64</v>
      </c>
      <c r="E23" s="792" t="s">
        <v>65</v>
      </c>
      <c r="G23" s="780" t="s">
        <v>219</v>
      </c>
      <c r="H23" s="781" t="s">
        <v>2</v>
      </c>
      <c r="I23" s="782" t="s">
        <v>4</v>
      </c>
      <c r="J23" s="777" t="s">
        <v>67</v>
      </c>
      <c r="K23" s="783" t="s">
        <v>68</v>
      </c>
      <c r="M23" s="780" t="s">
        <v>219</v>
      </c>
      <c r="N23" s="781" t="s">
        <v>2</v>
      </c>
      <c r="O23" s="782" t="s">
        <v>4</v>
      </c>
      <c r="P23" s="777" t="s">
        <v>67</v>
      </c>
      <c r="Q23" s="783" t="s">
        <v>68</v>
      </c>
      <c r="S23" s="1052"/>
      <c r="T23" s="1053"/>
    </row>
    <row r="24" spans="1:20" ht="12.75" customHeight="1">
      <c r="A24" s="774">
        <v>22</v>
      </c>
      <c r="B24" s="789" t="s">
        <v>369</v>
      </c>
      <c r="C24" s="790">
        <v>22</v>
      </c>
      <c r="D24" s="791" t="s">
        <v>64</v>
      </c>
      <c r="E24" s="792" t="s">
        <v>65</v>
      </c>
      <c r="G24" s="807">
        <v>1</v>
      </c>
      <c r="H24" s="894" t="str">
        <f>IF(N24&lt;&gt;"",N24,H3)</f>
        <v>Per-Anders Lindstrom</v>
      </c>
      <c r="I24" s="808">
        <f>IF(H24="","",VLOOKUP(H24,$B$3:$C$42,2,0))</f>
        <v>9</v>
      </c>
      <c r="J24" s="809" t="str">
        <f>IF($H24="","",VLOOKUP($H24,$B$3:$E$42,3,0))</f>
        <v>SVEMO</v>
      </c>
      <c r="K24" s="810" t="str">
        <f>IF($H24="","",VLOOKUP($H24,$B$3:$E$42,4,0))</f>
        <v>SWE</v>
      </c>
      <c r="M24" s="807">
        <v>1</v>
      </c>
      <c r="N24" s="821"/>
      <c r="O24" s="808" t="str">
        <f t="shared" ref="O24:O41" si="3">IF(N24="","",VLOOKUP(N24,$B$3:$C$42,2,0))</f>
        <v/>
      </c>
      <c r="P24" s="809" t="str">
        <f t="shared" ref="P24:P41" si="4">IF(N24="","",VLOOKUP(N24,$B$3:$E$42,3,0))</f>
        <v/>
      </c>
      <c r="Q24" s="810" t="str">
        <f t="shared" ref="Q24:Q41" si="5">IF(N24="","",VLOOKUP(N24,$B$3:$E$42,4,0))</f>
        <v/>
      </c>
      <c r="S24" s="1052"/>
      <c r="T24" s="1053"/>
    </row>
    <row r="25" spans="1:20" ht="12.75" customHeight="1">
      <c r="A25" s="774">
        <v>23</v>
      </c>
      <c r="B25" s="789" t="s">
        <v>289</v>
      </c>
      <c r="C25" s="790">
        <v>18</v>
      </c>
      <c r="D25" s="791" t="s">
        <v>229</v>
      </c>
      <c r="E25" s="792" t="s">
        <v>230</v>
      </c>
      <c r="G25" s="811">
        <v>2</v>
      </c>
      <c r="H25" s="895" t="str">
        <f t="shared" ref="H25:H41" si="6">IF(N25&lt;&gt;"",N25,H4)</f>
        <v>Dimitry Khomitsevich</v>
      </c>
      <c r="I25" s="793">
        <f t="shared" ref="I25:I41" si="7">IF(H25="","",VLOOKUP(H25,$B$3:$C$42,2,0))</f>
        <v>3</v>
      </c>
      <c r="J25" s="794" t="str">
        <f t="shared" ref="J25:J41" si="8">IF($H25="","",VLOOKUP($H25,$B$3:$E$42,3,0))</f>
        <v>MFR</v>
      </c>
      <c r="K25" s="812" t="str">
        <f t="shared" ref="K25:K41" si="9">IF($H25="","",VLOOKUP($H25,$B$3:$E$42,4,0))</f>
        <v>RUS</v>
      </c>
      <c r="M25" s="811">
        <v>2</v>
      </c>
      <c r="N25" s="822"/>
      <c r="O25" s="793" t="str">
        <f t="shared" si="3"/>
        <v/>
      </c>
      <c r="P25" s="794" t="str">
        <f t="shared" si="4"/>
        <v/>
      </c>
      <c r="Q25" s="812" t="str">
        <f t="shared" si="5"/>
        <v/>
      </c>
      <c r="S25" s="1052"/>
      <c r="T25" s="1053"/>
    </row>
    <row r="26" spans="1:20" ht="12.75" customHeight="1" thickBot="1">
      <c r="A26" s="774">
        <v>24</v>
      </c>
      <c r="B26" s="789" t="s">
        <v>378</v>
      </c>
      <c r="C26" s="790">
        <v>16</v>
      </c>
      <c r="D26" s="791" t="s">
        <v>287</v>
      </c>
      <c r="E26" s="792" t="s">
        <v>288</v>
      </c>
      <c r="G26" s="811">
        <v>3</v>
      </c>
      <c r="H26" s="895" t="str">
        <f t="shared" si="6"/>
        <v>Franz Zorn</v>
      </c>
      <c r="I26" s="793">
        <f t="shared" si="7"/>
        <v>10</v>
      </c>
      <c r="J26" s="794" t="str">
        <f t="shared" si="8"/>
        <v>OeAMTC</v>
      </c>
      <c r="K26" s="812" t="str">
        <f t="shared" si="9"/>
        <v>AUS</v>
      </c>
      <c r="M26" s="811">
        <v>3</v>
      </c>
      <c r="N26" s="822"/>
      <c r="O26" s="793" t="str">
        <f t="shared" si="3"/>
        <v/>
      </c>
      <c r="P26" s="794" t="str">
        <f t="shared" si="4"/>
        <v/>
      </c>
      <c r="Q26" s="812" t="str">
        <f t="shared" si="5"/>
        <v/>
      </c>
      <c r="S26" s="1054"/>
      <c r="T26" s="1055"/>
    </row>
    <row r="27" spans="1:20" ht="12.75" customHeight="1">
      <c r="A27" s="774">
        <v>25</v>
      </c>
      <c r="B27" s="789" t="s">
        <v>379</v>
      </c>
      <c r="C27" s="790">
        <v>17</v>
      </c>
      <c r="D27" s="791" t="s">
        <v>287</v>
      </c>
      <c r="E27" s="792" t="s">
        <v>288</v>
      </c>
      <c r="G27" s="811">
        <v>4</v>
      </c>
      <c r="H27" s="895" t="str">
        <f t="shared" si="6"/>
        <v>Jan Klatovsky</v>
      </c>
      <c r="I27" s="793">
        <f t="shared" si="7"/>
        <v>6</v>
      </c>
      <c r="J27" s="794" t="str">
        <f t="shared" si="8"/>
        <v>ACCR</v>
      </c>
      <c r="K27" s="812" t="str">
        <f t="shared" si="9"/>
        <v>CZR</v>
      </c>
      <c r="M27" s="811">
        <v>4</v>
      </c>
      <c r="N27" s="822"/>
      <c r="O27" s="793" t="str">
        <f t="shared" si="3"/>
        <v/>
      </c>
      <c r="P27" s="794" t="str">
        <f t="shared" si="4"/>
        <v/>
      </c>
      <c r="Q27" s="812" t="str">
        <f t="shared" si="5"/>
        <v/>
      </c>
    </row>
    <row r="28" spans="1:20" ht="12.75" customHeight="1">
      <c r="A28" s="774">
        <v>26</v>
      </c>
      <c r="B28" s="789" t="s">
        <v>380</v>
      </c>
      <c r="C28" s="790">
        <v>18</v>
      </c>
      <c r="D28" s="791" t="s">
        <v>287</v>
      </c>
      <c r="E28" s="792" t="s">
        <v>288</v>
      </c>
      <c r="G28" s="811">
        <v>5</v>
      </c>
      <c r="H28" s="895" t="str">
        <f t="shared" si="6"/>
        <v>Antonin Klatovsky</v>
      </c>
      <c r="I28" s="793">
        <f t="shared" si="7"/>
        <v>14</v>
      </c>
      <c r="J28" s="794" t="str">
        <f t="shared" si="8"/>
        <v>ACCR</v>
      </c>
      <c r="K28" s="812" t="str">
        <f t="shared" si="9"/>
        <v>CZR</v>
      </c>
      <c r="M28" s="811">
        <v>5</v>
      </c>
      <c r="N28" s="822"/>
      <c r="O28" s="793" t="str">
        <f t="shared" si="3"/>
        <v/>
      </c>
      <c r="P28" s="794" t="str">
        <f t="shared" si="4"/>
        <v/>
      </c>
      <c r="Q28" s="812" t="str">
        <f t="shared" si="5"/>
        <v/>
      </c>
    </row>
    <row r="29" spans="1:20" ht="12.75" customHeight="1">
      <c r="A29" s="774">
        <v>27</v>
      </c>
      <c r="B29" s="789" t="s">
        <v>384</v>
      </c>
      <c r="C29" s="790">
        <v>16</v>
      </c>
      <c r="D29" s="791" t="s">
        <v>387</v>
      </c>
      <c r="E29" s="792" t="s">
        <v>388</v>
      </c>
      <c r="G29" s="811">
        <v>6</v>
      </c>
      <c r="H29" s="895" t="str">
        <f t="shared" si="6"/>
        <v>Rene Stellingwerf</v>
      </c>
      <c r="I29" s="793">
        <f t="shared" si="7"/>
        <v>16</v>
      </c>
      <c r="J29" s="794" t="str">
        <f t="shared" si="8"/>
        <v>KMNV</v>
      </c>
      <c r="K29" s="812" t="str">
        <f t="shared" si="9"/>
        <v>NET</v>
      </c>
      <c r="M29" s="811">
        <v>6</v>
      </c>
      <c r="N29" s="822"/>
      <c r="O29" s="793" t="str">
        <f t="shared" si="3"/>
        <v/>
      </c>
      <c r="P29" s="794" t="str">
        <f t="shared" si="4"/>
        <v/>
      </c>
      <c r="Q29" s="812" t="str">
        <f t="shared" si="5"/>
        <v/>
      </c>
    </row>
    <row r="30" spans="1:20" ht="12.75" customHeight="1">
      <c r="A30" s="774">
        <v>28</v>
      </c>
      <c r="B30" s="789" t="s">
        <v>385</v>
      </c>
      <c r="C30" s="790">
        <v>17</v>
      </c>
      <c r="D30" s="791" t="s">
        <v>387</v>
      </c>
      <c r="E30" s="792" t="s">
        <v>388</v>
      </c>
      <c r="G30" s="811">
        <v>7</v>
      </c>
      <c r="H30" s="895" t="str">
        <f t="shared" si="6"/>
        <v>Igor Kononov</v>
      </c>
      <c r="I30" s="793">
        <f t="shared" si="7"/>
        <v>4</v>
      </c>
      <c r="J30" s="794" t="str">
        <f t="shared" si="8"/>
        <v>MFR</v>
      </c>
      <c r="K30" s="812" t="str">
        <f t="shared" si="9"/>
        <v>RUS</v>
      </c>
      <c r="M30" s="811">
        <v>7</v>
      </c>
      <c r="N30" s="822"/>
      <c r="O30" s="793" t="str">
        <f t="shared" si="3"/>
        <v/>
      </c>
      <c r="P30" s="794" t="str">
        <f t="shared" si="4"/>
        <v/>
      </c>
      <c r="Q30" s="812" t="str">
        <f t="shared" si="5"/>
        <v/>
      </c>
    </row>
    <row r="31" spans="1:20" ht="12.75" customHeight="1">
      <c r="A31" s="774">
        <v>29</v>
      </c>
      <c r="B31" s="789" t="s">
        <v>386</v>
      </c>
      <c r="C31" s="790">
        <v>18</v>
      </c>
      <c r="D31" s="791" t="s">
        <v>387</v>
      </c>
      <c r="E31" s="792" t="s">
        <v>388</v>
      </c>
      <c r="G31" s="811">
        <v>8</v>
      </c>
      <c r="H31" s="895" t="str">
        <f t="shared" si="6"/>
        <v>Gunter Bauer</v>
      </c>
      <c r="I31" s="793">
        <f t="shared" si="7"/>
        <v>7</v>
      </c>
      <c r="J31" s="794" t="str">
        <f t="shared" si="8"/>
        <v>DMSB</v>
      </c>
      <c r="K31" s="812" t="str">
        <f t="shared" si="9"/>
        <v>GER</v>
      </c>
      <c r="M31" s="811">
        <v>8</v>
      </c>
      <c r="N31" s="822"/>
      <c r="O31" s="793" t="str">
        <f t="shared" si="3"/>
        <v/>
      </c>
      <c r="P31" s="794" t="str">
        <f t="shared" si="4"/>
        <v/>
      </c>
      <c r="Q31" s="812" t="str">
        <f t="shared" si="5"/>
        <v/>
      </c>
    </row>
    <row r="32" spans="1:20" ht="12.75" customHeight="1">
      <c r="A32" s="774">
        <v>30</v>
      </c>
      <c r="B32" s="789" t="s">
        <v>397</v>
      </c>
      <c r="C32" s="790">
        <v>16</v>
      </c>
      <c r="D32" s="791" t="s">
        <v>399</v>
      </c>
      <c r="E32" s="792" t="s">
        <v>400</v>
      </c>
      <c r="G32" s="811">
        <v>9</v>
      </c>
      <c r="H32" s="895" t="str">
        <f t="shared" si="6"/>
        <v>Daniil Ivanov</v>
      </c>
      <c r="I32" s="793">
        <f t="shared" si="7"/>
        <v>1</v>
      </c>
      <c r="J32" s="794" t="str">
        <f t="shared" si="8"/>
        <v>MFR</v>
      </c>
      <c r="K32" s="812" t="str">
        <f t="shared" si="9"/>
        <v>RUS</v>
      </c>
      <c r="M32" s="811">
        <v>9</v>
      </c>
      <c r="N32" s="822"/>
      <c r="O32" s="793" t="str">
        <f t="shared" si="3"/>
        <v/>
      </c>
      <c r="P32" s="794" t="str">
        <f t="shared" si="4"/>
        <v/>
      </c>
      <c r="Q32" s="812" t="str">
        <f t="shared" si="5"/>
        <v/>
      </c>
    </row>
    <row r="33" spans="1:17" ht="12.75" customHeight="1">
      <c r="A33" s="774">
        <v>31</v>
      </c>
      <c r="B33" s="789" t="s">
        <v>398</v>
      </c>
      <c r="C33" s="790">
        <v>17</v>
      </c>
      <c r="D33" s="791" t="s">
        <v>399</v>
      </c>
      <c r="E33" s="792" t="s">
        <v>400</v>
      </c>
      <c r="G33" s="811">
        <v>10</v>
      </c>
      <c r="H33" s="895" t="str">
        <f t="shared" si="6"/>
        <v>Hans Weber</v>
      </c>
      <c r="I33" s="793">
        <f t="shared" si="7"/>
        <v>12</v>
      </c>
      <c r="J33" s="801" t="str">
        <f t="shared" si="8"/>
        <v>DMSB</v>
      </c>
      <c r="K33" s="812" t="str">
        <f t="shared" si="9"/>
        <v>GER</v>
      </c>
      <c r="M33" s="811">
        <v>10</v>
      </c>
      <c r="N33" s="822"/>
      <c r="O33" s="793" t="str">
        <f t="shared" si="3"/>
        <v/>
      </c>
      <c r="P33" s="801" t="str">
        <f t="shared" si="4"/>
        <v/>
      </c>
      <c r="Q33" s="812" t="str">
        <f t="shared" si="5"/>
        <v/>
      </c>
    </row>
    <row r="34" spans="1:17" ht="12.75" customHeight="1">
      <c r="A34" s="774">
        <v>32</v>
      </c>
      <c r="B34" s="789" t="s">
        <v>370</v>
      </c>
      <c r="C34" s="790"/>
      <c r="D34" s="791"/>
      <c r="E34" s="792"/>
      <c r="G34" s="811">
        <v>11</v>
      </c>
      <c r="H34" s="895" t="str">
        <f t="shared" si="6"/>
        <v>Harald Simon</v>
      </c>
      <c r="I34" s="793">
        <f t="shared" si="7"/>
        <v>15</v>
      </c>
      <c r="J34" s="801" t="str">
        <f t="shared" si="8"/>
        <v>OeAMTC</v>
      </c>
      <c r="K34" s="812" t="str">
        <f t="shared" si="9"/>
        <v>AUS</v>
      </c>
      <c r="M34" s="811">
        <v>11</v>
      </c>
      <c r="N34" s="822"/>
      <c r="O34" s="793" t="str">
        <f t="shared" si="3"/>
        <v/>
      </c>
      <c r="P34" s="801" t="str">
        <f t="shared" si="4"/>
        <v/>
      </c>
      <c r="Q34" s="812" t="str">
        <f t="shared" si="5"/>
        <v/>
      </c>
    </row>
    <row r="35" spans="1:17" ht="12.75" customHeight="1">
      <c r="A35" s="774">
        <v>33</v>
      </c>
      <c r="B35" s="789" t="s">
        <v>237</v>
      </c>
      <c r="C35" s="790"/>
      <c r="D35" s="791"/>
      <c r="E35" s="792"/>
      <c r="G35" s="811">
        <v>12</v>
      </c>
      <c r="H35" s="895" t="str">
        <f t="shared" si="6"/>
        <v>Vitaly Khomitsevich</v>
      </c>
      <c r="I35" s="793">
        <f t="shared" si="7"/>
        <v>11</v>
      </c>
      <c r="J35" s="794" t="str">
        <f t="shared" si="8"/>
        <v>MFR</v>
      </c>
      <c r="K35" s="812" t="str">
        <f t="shared" si="9"/>
        <v>RUS</v>
      </c>
      <c r="M35" s="811">
        <v>12</v>
      </c>
      <c r="N35" s="822"/>
      <c r="O35" s="793" t="str">
        <f t="shared" si="3"/>
        <v/>
      </c>
      <c r="P35" s="794" t="str">
        <f t="shared" si="4"/>
        <v/>
      </c>
      <c r="Q35" s="812" t="str">
        <f t="shared" si="5"/>
        <v/>
      </c>
    </row>
    <row r="36" spans="1:17" ht="12.75" customHeight="1">
      <c r="A36" s="774">
        <v>34</v>
      </c>
      <c r="B36" s="789" t="s">
        <v>238</v>
      </c>
      <c r="C36" s="790"/>
      <c r="D36" s="791"/>
      <c r="E36" s="792"/>
      <c r="G36" s="811">
        <v>13</v>
      </c>
      <c r="H36" s="895" t="str">
        <f t="shared" si="6"/>
        <v>Daniel Henderson</v>
      </c>
      <c r="I36" s="793">
        <f t="shared" si="7"/>
        <v>19</v>
      </c>
      <c r="J36" s="794" t="str">
        <f t="shared" si="8"/>
        <v>SVEMO</v>
      </c>
      <c r="K36" s="812" t="str">
        <f t="shared" si="9"/>
        <v>SWE</v>
      </c>
      <c r="M36" s="811">
        <v>13</v>
      </c>
      <c r="N36" s="822"/>
      <c r="O36" s="793" t="str">
        <f t="shared" si="3"/>
        <v/>
      </c>
      <c r="P36" s="794" t="str">
        <f t="shared" si="4"/>
        <v/>
      </c>
      <c r="Q36" s="812" t="str">
        <f t="shared" si="5"/>
        <v/>
      </c>
    </row>
    <row r="37" spans="1:17" ht="12.75" customHeight="1">
      <c r="A37" s="774">
        <v>35</v>
      </c>
      <c r="B37" s="789" t="s">
        <v>239</v>
      </c>
      <c r="C37" s="790"/>
      <c r="D37" s="791"/>
      <c r="E37" s="792"/>
      <c r="G37" s="811">
        <v>14</v>
      </c>
      <c r="H37" s="895" t="str">
        <f t="shared" si="6"/>
        <v>Stefan Pletschacher</v>
      </c>
      <c r="I37" s="793">
        <f t="shared" si="7"/>
        <v>8</v>
      </c>
      <c r="J37" s="794" t="str">
        <f t="shared" si="8"/>
        <v>DMSB</v>
      </c>
      <c r="K37" s="812" t="str">
        <f t="shared" si="9"/>
        <v>GER</v>
      </c>
      <c r="M37" s="811">
        <v>14</v>
      </c>
      <c r="N37" s="822"/>
      <c r="O37" s="793" t="str">
        <f t="shared" si="3"/>
        <v/>
      </c>
      <c r="P37" s="794" t="str">
        <f t="shared" si="4"/>
        <v/>
      </c>
      <c r="Q37" s="812" t="str">
        <f t="shared" si="5"/>
        <v/>
      </c>
    </row>
    <row r="38" spans="1:17" ht="12.75" customHeight="1">
      <c r="A38" s="774">
        <v>36</v>
      </c>
      <c r="B38" s="789" t="s">
        <v>240</v>
      </c>
      <c r="C38" s="790"/>
      <c r="D38" s="791"/>
      <c r="E38" s="792"/>
      <c r="G38" s="811">
        <v>15</v>
      </c>
      <c r="H38" s="895" t="str">
        <f t="shared" si="6"/>
        <v>Dimitry Koltakov</v>
      </c>
      <c r="I38" s="793">
        <f t="shared" si="7"/>
        <v>2</v>
      </c>
      <c r="J38" s="794" t="str">
        <f t="shared" si="8"/>
        <v>MFR</v>
      </c>
      <c r="K38" s="812" t="str">
        <f t="shared" si="9"/>
        <v>RUS</v>
      </c>
      <c r="M38" s="811">
        <v>15</v>
      </c>
      <c r="N38" s="822"/>
      <c r="O38" s="793" t="str">
        <f t="shared" si="3"/>
        <v/>
      </c>
      <c r="P38" s="794" t="str">
        <f t="shared" si="4"/>
        <v/>
      </c>
      <c r="Q38" s="812" t="str">
        <f t="shared" si="5"/>
        <v/>
      </c>
    </row>
    <row r="39" spans="1:17" ht="12.75" customHeight="1" thickBot="1">
      <c r="A39" s="774">
        <v>37</v>
      </c>
      <c r="B39" s="789" t="s">
        <v>241</v>
      </c>
      <c r="C39" s="790"/>
      <c r="D39" s="791"/>
      <c r="E39" s="792"/>
      <c r="G39" s="813">
        <v>16</v>
      </c>
      <c r="H39" s="896" t="str">
        <f t="shared" si="6"/>
        <v>Stefan Svensson</v>
      </c>
      <c r="I39" s="814">
        <f t="shared" si="7"/>
        <v>5</v>
      </c>
      <c r="J39" s="815" t="str">
        <f t="shared" si="8"/>
        <v>SVEMO</v>
      </c>
      <c r="K39" s="816" t="str">
        <f t="shared" si="9"/>
        <v>SWE</v>
      </c>
      <c r="M39" s="813">
        <v>16</v>
      </c>
      <c r="N39" s="823"/>
      <c r="O39" s="814" t="str">
        <f t="shared" si="3"/>
        <v/>
      </c>
      <c r="P39" s="815" t="str">
        <f t="shared" si="4"/>
        <v/>
      </c>
      <c r="Q39" s="816" t="str">
        <f t="shared" si="5"/>
        <v/>
      </c>
    </row>
    <row r="40" spans="1:17" ht="12.75" customHeight="1">
      <c r="A40" s="774">
        <v>38</v>
      </c>
      <c r="B40" s="789" t="s">
        <v>242</v>
      </c>
      <c r="C40" s="790"/>
      <c r="D40" s="791"/>
      <c r="E40" s="792"/>
      <c r="G40" s="817">
        <v>17</v>
      </c>
      <c r="H40" s="897" t="str">
        <f t="shared" si="6"/>
        <v>Simon Reitsma</v>
      </c>
      <c r="I40" s="818">
        <f t="shared" si="7"/>
        <v>17</v>
      </c>
      <c r="J40" s="819" t="str">
        <f t="shared" si="8"/>
        <v>KMNV</v>
      </c>
      <c r="K40" s="820" t="str">
        <f t="shared" si="9"/>
        <v>NET</v>
      </c>
      <c r="M40" s="817">
        <v>17</v>
      </c>
      <c r="N40" s="824"/>
      <c r="O40" s="818" t="str">
        <f t="shared" si="3"/>
        <v/>
      </c>
      <c r="P40" s="819" t="str">
        <f t="shared" si="4"/>
        <v/>
      </c>
      <c r="Q40" s="820" t="str">
        <f t="shared" si="5"/>
        <v/>
      </c>
    </row>
    <row r="41" spans="1:17" ht="12.75" customHeight="1" thickBot="1">
      <c r="A41" s="774">
        <v>39</v>
      </c>
      <c r="B41" s="789" t="s">
        <v>251</v>
      </c>
      <c r="C41" s="790"/>
      <c r="D41" s="791"/>
      <c r="E41" s="792"/>
      <c r="G41" s="813">
        <v>18</v>
      </c>
      <c r="H41" s="896" t="str">
        <f t="shared" si="6"/>
        <v>Max Niedermaier</v>
      </c>
      <c r="I41" s="814">
        <f t="shared" si="7"/>
        <v>18</v>
      </c>
      <c r="J41" s="815" t="str">
        <f t="shared" si="8"/>
        <v>DMSB</v>
      </c>
      <c r="K41" s="816" t="str">
        <f t="shared" si="9"/>
        <v>GER</v>
      </c>
      <c r="M41" s="813">
        <v>18</v>
      </c>
      <c r="N41" s="823"/>
      <c r="O41" s="814" t="str">
        <f t="shared" si="3"/>
        <v/>
      </c>
      <c r="P41" s="815" t="str">
        <f t="shared" si="4"/>
        <v/>
      </c>
      <c r="Q41" s="816" t="str">
        <f t="shared" si="5"/>
        <v/>
      </c>
    </row>
    <row r="42" spans="1:17" ht="12.75" customHeight="1" thickBot="1">
      <c r="A42" s="774">
        <v>40</v>
      </c>
      <c r="B42" s="796" t="s">
        <v>329</v>
      </c>
      <c r="C42" s="797">
        <v>0</v>
      </c>
      <c r="D42" s="798" t="s">
        <v>330</v>
      </c>
      <c r="E42" s="799" t="s">
        <v>330</v>
      </c>
    </row>
    <row r="43" spans="1:17" ht="12.75" customHeight="1"/>
    <row r="44" spans="1:17" ht="12.75" customHeight="1"/>
    <row r="45" spans="1:17" ht="12.75" customHeight="1"/>
    <row r="46" spans="1:17" ht="12.75" customHeight="1"/>
    <row r="47" spans="1:17" ht="12.75" customHeight="1"/>
    <row r="48" spans="1:17" ht="12.75" customHeight="1"/>
    <row r="49" s="775" customFormat="1" ht="12.75" customHeight="1"/>
    <row r="50" s="775" customFormat="1" ht="12.75" customHeight="1"/>
    <row r="51" s="775" customFormat="1" ht="12.75" customHeight="1"/>
    <row r="52" s="775" customFormat="1" ht="12.75" customHeight="1"/>
    <row r="53" s="775" customFormat="1" ht="12" customHeight="1"/>
    <row r="54" s="775" customFormat="1" ht="12.75" customHeight="1"/>
    <row r="55" s="775" customFormat="1" ht="12.75" customHeight="1"/>
    <row r="56" s="775" customFormat="1" ht="12.75" customHeight="1"/>
  </sheetData>
  <sheetProtection password="C331" sheet="1" objects="1" scenarios="1"/>
  <mergeCells count="9">
    <mergeCell ref="S22:T26"/>
    <mergeCell ref="G22:K22"/>
    <mergeCell ref="M22:Q22"/>
    <mergeCell ref="M3:N5"/>
    <mergeCell ref="B1:E1"/>
    <mergeCell ref="G1:K1"/>
    <mergeCell ref="S2:T2"/>
    <mergeCell ref="T15:T16"/>
    <mergeCell ref="M13:P15"/>
  </mergeCells>
  <phoneticPr fontId="47" type="noConversion"/>
  <printOptions verticalCentered="1"/>
  <pageMargins left="0.19685039370078741" right="0.19685039370078741" top="0.19685039370078741" bottom="0.19685039370078741" header="0.31496062992125984" footer="0.31496062992125984"/>
  <pageSetup paperSize="9" scale="68"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00FF00"/>
    <pageSetUpPr fitToPage="1"/>
  </sheetPr>
  <dimension ref="A1:JH108"/>
  <sheetViews>
    <sheetView showGridLines="0" topLeftCell="G1" zoomScale="90" zoomScaleNormal="90" workbookViewId="0">
      <pane ySplit="11" topLeftCell="A24" activePane="bottomLeft" state="frozen"/>
      <selection pane="bottomLeft" activeCell="AL43" sqref="AL43:AO43"/>
    </sheetView>
  </sheetViews>
  <sheetFormatPr defaultColWidth="8.85546875" defaultRowHeight="12.75" customHeight="1"/>
  <cols>
    <col min="1" max="1" width="5.42578125" style="8" customWidth="1"/>
    <col min="2" max="2" width="3.42578125" style="8" hidden="1" customWidth="1"/>
    <col min="3" max="3" width="3.28515625" style="8" customWidth="1"/>
    <col min="4" max="4" width="19" style="14" customWidth="1"/>
    <col min="5" max="5" width="3.140625" style="992" customWidth="1"/>
    <col min="6" max="6" width="3.140625" style="14" hidden="1" customWidth="1"/>
    <col min="7" max="7" width="2.7109375" style="14" customWidth="1"/>
    <col min="8" max="8" width="4.5703125" style="14" customWidth="1"/>
    <col min="9" max="12" width="4.5703125" style="8" customWidth="1"/>
    <col min="13" max="14" width="3.28515625" style="16" customWidth="1"/>
    <col min="15" max="15" width="0.85546875" style="8" customWidth="1"/>
    <col min="16" max="16" width="5.85546875" style="8" customWidth="1"/>
    <col min="17" max="17" width="3.42578125" style="8" hidden="1" customWidth="1"/>
    <col min="18" max="18" width="3.28515625" style="8" customWidth="1"/>
    <col min="19" max="19" width="19" style="14" customWidth="1"/>
    <col min="20" max="20" width="3.140625" style="992" customWidth="1"/>
    <col min="21" max="21" width="3.140625" style="14" hidden="1" customWidth="1"/>
    <col min="22" max="22" width="2.7109375" style="14" customWidth="1"/>
    <col min="23" max="23" width="4.5703125" style="14" customWidth="1"/>
    <col min="24" max="28" width="4.5703125" style="8" customWidth="1"/>
    <col min="29" max="29" width="3.28515625" style="8" customWidth="1"/>
    <col min="30" max="30" width="0.85546875" style="8" customWidth="1"/>
    <col min="31" max="31" width="5.85546875" style="8" customWidth="1"/>
    <col min="32" max="32" width="3" style="8" hidden="1" customWidth="1"/>
    <col min="33" max="33" width="3.28515625" style="8" customWidth="1"/>
    <col min="34" max="34" width="19" style="14" customWidth="1"/>
    <col min="35" max="35" width="3.140625" style="992" customWidth="1"/>
    <col min="36" max="36" width="3.140625" style="14" hidden="1" customWidth="1"/>
    <col min="37" max="37" width="2.7109375" style="14" customWidth="1"/>
    <col min="38" max="42" width="4.5703125" style="8" customWidth="1"/>
    <col min="43" max="45" width="3.28515625" style="8" customWidth="1"/>
    <col min="46" max="46" width="3" style="8" customWidth="1"/>
    <col min="47" max="47" width="2.140625" style="8" customWidth="1"/>
    <col min="48" max="48" width="18.85546875" style="8" customWidth="1"/>
    <col min="49" max="53" width="3.7109375" style="8" customWidth="1"/>
    <col min="54" max="54" width="5.28515625" style="8" customWidth="1"/>
    <col min="55" max="55" width="1.7109375" style="8" customWidth="1"/>
    <col min="56" max="56" width="3.85546875" style="8" customWidth="1"/>
    <col min="57" max="57" width="18.5703125" style="8" customWidth="1"/>
    <col min="58" max="58" width="5.28515625" style="8" customWidth="1"/>
    <col min="59" max="59" width="1.7109375" style="8" customWidth="1"/>
    <col min="60" max="60" width="4.42578125" style="8" hidden="1" customWidth="1"/>
    <col min="61" max="61" width="9" style="8" hidden="1" customWidth="1"/>
    <col min="62" max="62" width="8.42578125" style="16" hidden="1" customWidth="1"/>
    <col min="63" max="63" width="3" style="8" hidden="1" customWidth="1"/>
    <col min="64" max="64" width="6.5703125" style="8" hidden="1" customWidth="1"/>
    <col min="65" max="70" width="3.7109375" style="8" hidden="1" customWidth="1"/>
    <col min="71" max="71" width="2.7109375" style="8" hidden="1" customWidth="1"/>
    <col min="72" max="74" width="3.7109375" style="8" hidden="1" customWidth="1"/>
    <col min="75" max="75" width="6.5703125" style="8" hidden="1" customWidth="1"/>
    <col min="76" max="76" width="7.5703125" style="8" hidden="1" customWidth="1"/>
    <col min="77" max="77" width="3.7109375" style="16" hidden="1" customWidth="1"/>
    <col min="78" max="78" width="9.140625" style="16" hidden="1" customWidth="1"/>
    <col min="79" max="79" width="3" style="8" hidden="1" customWidth="1"/>
    <col min="80" max="80" width="9.140625" style="8" hidden="1" customWidth="1"/>
    <col min="81" max="81" width="3" style="13" hidden="1" customWidth="1"/>
    <col min="82" max="82" width="2" style="13" hidden="1" customWidth="1"/>
    <col min="83" max="83" width="4.42578125" style="13" hidden="1" customWidth="1"/>
    <col min="84" max="85" width="3" style="13" hidden="1" customWidth="1"/>
    <col min="86" max="86" width="19.140625" style="13" hidden="1" customWidth="1"/>
    <col min="87" max="87" width="9.7109375" style="13" hidden="1" customWidth="1"/>
    <col min="88" max="92" width="3.28515625" style="13" hidden="1" customWidth="1"/>
    <col min="93" max="93" width="3.7109375" style="13" hidden="1" customWidth="1"/>
    <col min="94" max="94" width="2.42578125" style="16" hidden="1" customWidth="1"/>
    <col min="95" max="96" width="3" style="13" hidden="1" customWidth="1"/>
    <col min="97" max="97" width="3" style="260" hidden="1" customWidth="1"/>
    <col min="98" max="100" width="4" style="13" hidden="1" customWidth="1"/>
    <col min="101" max="101" width="19.140625" style="13" hidden="1" customWidth="1"/>
    <col min="102" max="102" width="2" style="13" hidden="1" customWidth="1"/>
    <col min="103" max="104" width="2.42578125" style="13" hidden="1" customWidth="1"/>
    <col min="105" max="105" width="2" style="13" hidden="1" customWidth="1"/>
    <col min="106" max="106" width="2.42578125" style="13" hidden="1" customWidth="1"/>
    <col min="107" max="107" width="5.28515625" style="13" hidden="1" customWidth="1"/>
    <col min="108" max="108" width="3" style="13" hidden="1" customWidth="1"/>
    <col min="109" max="109" width="3.5703125" style="13" hidden="1" customWidth="1"/>
    <col min="110" max="110" width="3" style="13" hidden="1" customWidth="1"/>
    <col min="111" max="111" width="4.5703125" style="13" hidden="1" customWidth="1"/>
    <col min="112" max="112" width="3" style="13" hidden="1" customWidth="1"/>
    <col min="113" max="113" width="5.5703125" style="13" hidden="1" customWidth="1"/>
    <col min="114" max="114" width="2" style="16" hidden="1" customWidth="1"/>
    <col min="115" max="115" width="7.5703125" style="16" hidden="1" customWidth="1"/>
    <col min="116" max="116" width="9.7109375" style="13" hidden="1" customWidth="1"/>
    <col min="117" max="119" width="10.7109375" style="13" hidden="1" customWidth="1"/>
    <col min="120" max="120" width="11.7109375" style="13" hidden="1" customWidth="1"/>
    <col min="121" max="121" width="10.5703125" style="13" hidden="1" customWidth="1"/>
    <col min="122" max="155" width="3" style="13" hidden="1" customWidth="1"/>
    <col min="156" max="156" width="8.42578125" style="13" hidden="1" customWidth="1"/>
    <col min="157" max="157" width="3" style="13" hidden="1" customWidth="1"/>
    <col min="158" max="158" width="18.5703125" style="13" hidden="1" customWidth="1"/>
    <col min="159" max="159" width="5.28515625" style="16" hidden="1" customWidth="1"/>
    <col min="160" max="160" width="8" style="16" hidden="1" customWidth="1"/>
    <col min="161" max="161" width="6.7109375" style="16" hidden="1" customWidth="1"/>
    <col min="162" max="162" width="5" style="16" hidden="1" customWidth="1"/>
    <col min="163" max="164" width="12.140625" style="182" hidden="1" customWidth="1"/>
    <col min="165" max="165" width="10.7109375" style="13" hidden="1" customWidth="1"/>
    <col min="166" max="166" width="12.140625" style="13" hidden="1" customWidth="1"/>
    <col min="167" max="167" width="7.5703125" style="16" hidden="1" customWidth="1"/>
    <col min="168" max="168" width="9.5703125" style="710" hidden="1" customWidth="1"/>
    <col min="169" max="169" width="10.7109375" style="710" hidden="1" customWidth="1"/>
    <col min="170" max="170" width="9.5703125" style="13" hidden="1" customWidth="1"/>
    <col min="171" max="171" width="18.5703125" style="13" hidden="1" customWidth="1"/>
    <col min="172" max="172" width="5.85546875" style="13" hidden="1" customWidth="1"/>
    <col min="173" max="173" width="2.7109375" style="13" hidden="1" customWidth="1"/>
    <col min="174" max="174" width="2.7109375" style="290" hidden="1" customWidth="1"/>
    <col min="175" max="175" width="2.7109375" style="16" hidden="1" customWidth="1"/>
    <col min="176" max="179" width="3" style="16" hidden="1" customWidth="1"/>
    <col min="180" max="180" width="10.5703125" style="16" hidden="1" customWidth="1"/>
    <col min="181" max="187" width="3" style="16" hidden="1" customWidth="1"/>
    <col min="188" max="188" width="2" style="16" hidden="1" customWidth="1"/>
    <col min="189" max="190" width="3" style="16" hidden="1" customWidth="1"/>
    <col min="191" max="191" width="3" style="290" hidden="1" customWidth="1"/>
    <col min="192" max="192" width="9.140625" style="8" hidden="1" customWidth="1"/>
    <col min="193" max="193" width="3" style="8" hidden="1" customWidth="1"/>
    <col min="194" max="199" width="2.28515625" style="8" hidden="1" customWidth="1"/>
    <col min="200" max="200" width="8.5703125" style="8" hidden="1" customWidth="1"/>
    <col min="201" max="202" width="2.28515625" style="8" hidden="1" customWidth="1"/>
    <col min="203" max="204" width="2.28515625" style="16" hidden="1" customWidth="1"/>
    <col min="205" max="205" width="3" style="16" hidden="1" customWidth="1"/>
    <col min="206" max="206" width="4.140625" style="16" hidden="1" customWidth="1"/>
    <col min="207" max="208" width="3" style="16" hidden="1" customWidth="1"/>
    <col min="209" max="212" width="2.28515625" style="16" hidden="1" customWidth="1"/>
    <col min="213" max="215" width="3" style="16" hidden="1" customWidth="1"/>
    <col min="216" max="216" width="4.140625" style="16" hidden="1" customWidth="1"/>
    <col min="217" max="218" width="3" style="8" hidden="1" customWidth="1"/>
    <col min="219" max="220" width="2" style="8" hidden="1" customWidth="1"/>
    <col min="221" max="221" width="3.7109375" style="8" hidden="1" customWidth="1"/>
    <col min="222" max="222" width="4.5703125" style="8" hidden="1" customWidth="1"/>
    <col min="223" max="223" width="18.5703125" style="8" hidden="1" customWidth="1"/>
    <col min="224" max="226" width="3" style="8" hidden="1" customWidth="1"/>
    <col min="227" max="227" width="4.5703125" style="8" hidden="1" customWidth="1"/>
    <col min="228" max="228" width="8.42578125" style="8" hidden="1" customWidth="1"/>
    <col min="229" max="229" width="21.7109375" style="8" hidden="1" customWidth="1"/>
    <col min="230" max="230" width="2" style="8" hidden="1" customWidth="1"/>
    <col min="231" max="231" width="21.7109375" style="8" hidden="1" customWidth="1"/>
    <col min="232" max="232" width="4.5703125" style="8" hidden="1" customWidth="1"/>
    <col min="233" max="233" width="18.5703125" style="8" hidden="1" customWidth="1"/>
    <col min="234" max="234" width="2.85546875" style="8" hidden="1" customWidth="1"/>
    <col min="235" max="236" width="2.7109375" style="8" hidden="1" customWidth="1"/>
    <col min="237" max="237" width="4.5703125" style="8" hidden="1" customWidth="1"/>
    <col min="238" max="238" width="2.7109375" style="8" hidden="1" customWidth="1"/>
    <col min="239" max="239" width="21.7109375" style="8" hidden="1" customWidth="1"/>
    <col min="240" max="240" width="2.7109375" style="8" hidden="1" customWidth="1"/>
    <col min="241" max="241" width="21.7109375" style="8" hidden="1" customWidth="1"/>
    <col min="242" max="242" width="9.140625" style="8" hidden="1" customWidth="1"/>
    <col min="243" max="243" width="18.5703125" style="8" hidden="1" customWidth="1"/>
    <col min="244" max="245" width="2.7109375" style="8" hidden="1" customWidth="1"/>
    <col min="246" max="246" width="5" style="8" hidden="1" customWidth="1"/>
    <col min="247" max="247" width="4.5703125" style="8" hidden="1" customWidth="1"/>
    <col min="248" max="248" width="2.7109375" style="8" hidden="1" customWidth="1"/>
    <col min="249" max="249" width="18.5703125" style="8" hidden="1" customWidth="1"/>
    <col min="250" max="250" width="2.7109375" style="8" hidden="1" customWidth="1"/>
    <col min="251" max="251" width="21.7109375" style="8" hidden="1" customWidth="1"/>
    <col min="252" max="253" width="8.85546875" style="8" hidden="1" customWidth="1"/>
    <col min="254" max="254" width="1.7109375" style="8" hidden="1" customWidth="1"/>
    <col min="255" max="255" width="4.7109375" style="8" customWidth="1"/>
    <col min="256" max="256" width="3.7109375" style="8" customWidth="1"/>
    <col min="257" max="257" width="17.7109375" style="8" customWidth="1"/>
    <col min="258" max="258" width="3.7109375" style="8" customWidth="1"/>
    <col min="259" max="259" width="1.7109375" style="8" customWidth="1"/>
    <col min="260" max="260" width="4.7109375" style="8" customWidth="1"/>
    <col min="261" max="261" width="3.7109375" style="8" customWidth="1"/>
    <col min="262" max="262" width="17.7109375" style="8" customWidth="1"/>
    <col min="263" max="263" width="3.7109375" style="8" customWidth="1"/>
    <col min="264" max="264" width="1.7109375" style="8" customWidth="1"/>
    <col min="265" max="265" width="4.7109375" style="8" customWidth="1"/>
    <col min="266" max="266" width="3.7109375" style="8" customWidth="1"/>
    <col min="267" max="267" width="17.7109375" style="8" customWidth="1"/>
    <col min="268" max="268" width="3.7109375" style="8" customWidth="1"/>
    <col min="269" max="16384" width="8.85546875" style="8"/>
  </cols>
  <sheetData>
    <row r="1" spans="1:268" ht="12.75" customHeight="1" thickBot="1">
      <c r="I1" s="290"/>
      <c r="J1" s="290"/>
      <c r="K1" s="290"/>
      <c r="L1" s="290"/>
      <c r="M1" s="290"/>
      <c r="N1" s="290"/>
      <c r="Q1" s="181"/>
      <c r="R1" s="108" t="s">
        <v>21</v>
      </c>
      <c r="S1" s="9" t="s">
        <v>2</v>
      </c>
      <c r="T1" s="991"/>
      <c r="U1" s="515"/>
      <c r="V1" s="533"/>
      <c r="W1" s="10">
        <v>1</v>
      </c>
      <c r="X1" s="11">
        <v>2</v>
      </c>
      <c r="Y1" s="11">
        <v>3</v>
      </c>
      <c r="Z1" s="11">
        <v>4</v>
      </c>
      <c r="AA1" s="11">
        <v>5</v>
      </c>
      <c r="AB1" s="12" t="s">
        <v>0</v>
      </c>
      <c r="AC1" s="55" t="s">
        <v>314</v>
      </c>
      <c r="AF1" s="181"/>
      <c r="AG1" s="108" t="s">
        <v>21</v>
      </c>
      <c r="AH1" s="9" t="s">
        <v>2</v>
      </c>
      <c r="AI1" s="991"/>
      <c r="AJ1" s="515"/>
      <c r="AK1" s="533"/>
      <c r="AL1" s="10">
        <v>1</v>
      </c>
      <c r="AM1" s="11">
        <v>2</v>
      </c>
      <c r="AN1" s="11">
        <v>3</v>
      </c>
      <c r="AO1" s="11">
        <v>4</v>
      </c>
      <c r="AP1" s="11">
        <v>5</v>
      </c>
      <c r="AQ1" s="12" t="s">
        <v>0</v>
      </c>
      <c r="AR1" s="55" t="s">
        <v>315</v>
      </c>
      <c r="AT1" s="1102" t="s">
        <v>223</v>
      </c>
      <c r="AU1" s="1103"/>
      <c r="AV1" s="718" t="s">
        <v>224</v>
      </c>
      <c r="AW1" s="1098" t="s">
        <v>75</v>
      </c>
      <c r="AX1" s="1099"/>
      <c r="AY1" s="1098" t="s">
        <v>14</v>
      </c>
      <c r="AZ1" s="1099"/>
      <c r="BA1" s="1098" t="s">
        <v>15</v>
      </c>
      <c r="BB1" s="1099"/>
      <c r="BC1" s="1098" t="s">
        <v>17</v>
      </c>
      <c r="BD1" s="1099"/>
      <c r="BG1" s="197"/>
      <c r="BH1" s="183"/>
      <c r="BI1" s="183"/>
      <c r="BJ1" s="184"/>
      <c r="BK1" s="183"/>
      <c r="BL1" s="183"/>
      <c r="BM1" s="183"/>
      <c r="BN1" s="183"/>
      <c r="BO1" s="183"/>
      <c r="BP1" s="183"/>
      <c r="BQ1" s="183"/>
      <c r="BR1" s="183"/>
      <c r="BS1" s="183"/>
      <c r="BT1" s="183"/>
      <c r="BU1" s="183"/>
      <c r="BV1" s="183"/>
      <c r="BW1" s="183"/>
      <c r="BX1" s="183"/>
      <c r="BY1" s="184"/>
      <c r="BZ1" s="184"/>
      <c r="CA1" s="183"/>
      <c r="CB1" s="183"/>
      <c r="CC1" s="1140" t="s">
        <v>16</v>
      </c>
      <c r="CD1" s="1141"/>
      <c r="CE1" s="1141"/>
      <c r="CF1" s="1141"/>
      <c r="CG1" s="1141"/>
      <c r="CH1" s="1141"/>
      <c r="CI1" s="1141"/>
      <c r="CJ1" s="1141"/>
      <c r="CK1" s="1141"/>
      <c r="CL1" s="1141"/>
      <c r="CM1" s="1141"/>
      <c r="CN1" s="1141"/>
      <c r="CO1" s="1142"/>
      <c r="CP1" s="199"/>
      <c r="CQ1" s="244"/>
      <c r="CR1" s="1163" t="s">
        <v>6</v>
      </c>
      <c r="CS1" s="1157" t="s">
        <v>5</v>
      </c>
      <c r="CT1" s="1165" t="s">
        <v>7</v>
      </c>
      <c r="CU1" s="1166"/>
      <c r="CV1" s="1166"/>
      <c r="CW1" s="1166"/>
      <c r="CX1" s="1166"/>
      <c r="CY1" s="1166"/>
      <c r="CZ1" s="1166"/>
      <c r="DA1" s="1166"/>
      <c r="DB1" s="1166"/>
      <c r="DC1" s="1167"/>
      <c r="DD1" s="1171" t="s">
        <v>18</v>
      </c>
      <c r="DE1" s="1172"/>
      <c r="DF1" s="1172"/>
      <c r="DG1" s="1172"/>
      <c r="DH1" s="1172"/>
      <c r="DI1" s="1172"/>
      <c r="DJ1" s="1172"/>
      <c r="DK1" s="1173"/>
      <c r="DL1" s="1159" t="s">
        <v>38</v>
      </c>
      <c r="DM1" s="1117" t="s">
        <v>98</v>
      </c>
      <c r="DN1" s="1117" t="s">
        <v>40</v>
      </c>
      <c r="DO1" s="1117" t="s">
        <v>41</v>
      </c>
      <c r="DP1" s="1117" t="s">
        <v>70</v>
      </c>
      <c r="DQ1" s="591"/>
      <c r="DR1" s="1174" t="s">
        <v>36</v>
      </c>
      <c r="DS1" s="1174"/>
      <c r="DT1" s="1174"/>
      <c r="DU1" s="1174"/>
      <c r="DV1" s="1174"/>
      <c r="DW1" s="1174"/>
      <c r="DX1" s="1174"/>
      <c r="DY1" s="1174"/>
      <c r="DZ1" s="1174"/>
      <c r="EA1" s="1174"/>
      <c r="EB1" s="1174"/>
      <c r="EC1" s="1174"/>
      <c r="ED1" s="1174"/>
      <c r="EE1" s="1174"/>
      <c r="EF1" s="1174"/>
      <c r="EG1" s="1174"/>
      <c r="EH1" s="227"/>
      <c r="EI1" s="1176" t="s">
        <v>37</v>
      </c>
      <c r="EJ1" s="1177"/>
      <c r="EK1" s="1177"/>
      <c r="EL1" s="1177"/>
      <c r="EM1" s="1177"/>
      <c r="EN1" s="1177"/>
      <c r="EO1" s="1177"/>
      <c r="EP1" s="1177"/>
      <c r="EQ1" s="1177"/>
      <c r="ER1" s="1177"/>
      <c r="ES1" s="1177"/>
      <c r="ET1" s="1177"/>
      <c r="EU1" s="1177"/>
      <c r="EV1" s="1177"/>
      <c r="EW1" s="1177"/>
      <c r="EX1" s="1178"/>
      <c r="EY1" s="1168" t="s">
        <v>39</v>
      </c>
      <c r="FA1" s="109"/>
      <c r="FB1" s="109"/>
      <c r="FC1" s="1104" t="s">
        <v>145</v>
      </c>
      <c r="FD1" s="1104" t="s">
        <v>22</v>
      </c>
      <c r="FE1" s="1106" t="s">
        <v>149</v>
      </c>
      <c r="FF1" s="1104" t="s">
        <v>148</v>
      </c>
      <c r="FG1" s="1161" t="s">
        <v>150</v>
      </c>
      <c r="FH1" s="1115" t="s">
        <v>151</v>
      </c>
      <c r="FI1" s="1161" t="s">
        <v>147</v>
      </c>
      <c r="FJ1" s="1161" t="s">
        <v>152</v>
      </c>
      <c r="FK1" s="1175" t="s">
        <v>146</v>
      </c>
      <c r="FL1" s="709"/>
      <c r="FM1" s="709"/>
      <c r="FN1" s="109"/>
      <c r="FO1" s="109"/>
      <c r="FP1" s="677"/>
      <c r="FQ1" s="109"/>
      <c r="FR1" s="325"/>
      <c r="FS1" s="184"/>
      <c r="FT1" s="1174" t="s">
        <v>72</v>
      </c>
      <c r="FU1" s="1174"/>
      <c r="FV1" s="1174"/>
      <c r="FW1" s="1174"/>
      <c r="FX1" s="1174"/>
      <c r="FY1" s="1174"/>
      <c r="FZ1" s="1174"/>
      <c r="GA1" s="1174"/>
      <c r="GB1" s="1174"/>
      <c r="GC1" s="1174"/>
      <c r="GD1" s="1174"/>
      <c r="GE1" s="1174"/>
      <c r="GF1" s="1174"/>
      <c r="GG1" s="1174"/>
      <c r="GH1" s="1174"/>
      <c r="GI1" s="1174"/>
      <c r="GJ1" s="183"/>
      <c r="GK1" s="1170" t="s">
        <v>71</v>
      </c>
      <c r="GL1" s="1170"/>
      <c r="GM1" s="1170"/>
      <c r="GN1" s="1170"/>
      <c r="GO1" s="1170"/>
      <c r="GP1" s="1170"/>
      <c r="GQ1" s="1170"/>
      <c r="GV1" s="1170" t="s">
        <v>73</v>
      </c>
      <c r="GW1" s="1170"/>
      <c r="GX1" s="1170"/>
      <c r="GY1" s="1170"/>
      <c r="GZ1" s="1170"/>
      <c r="HA1" s="1170"/>
      <c r="HB1" s="1170"/>
      <c r="HC1" s="1170"/>
      <c r="HD1" s="1170"/>
      <c r="HE1" s="1170"/>
      <c r="HF1" s="1170"/>
      <c r="HG1" s="1170"/>
      <c r="HH1" s="1170"/>
      <c r="HI1" s="1170"/>
      <c r="HJ1" s="1170"/>
      <c r="HK1" s="1170"/>
      <c r="HL1" s="1170"/>
      <c r="HM1" s="183"/>
      <c r="HN1" s="183"/>
      <c r="HO1" s="183"/>
      <c r="HP1" s="183"/>
      <c r="HQ1" s="183"/>
      <c r="HR1" s="183"/>
      <c r="HS1" s="183"/>
      <c r="HT1" s="183"/>
      <c r="HU1" s="183"/>
      <c r="HV1" s="183"/>
      <c r="HW1" s="183"/>
      <c r="HX1" s="183"/>
      <c r="HY1" s="183"/>
      <c r="HZ1" s="183"/>
      <c r="IA1" s="183"/>
      <c r="IB1" s="183"/>
      <c r="IC1" s="183"/>
      <c r="ID1" s="183"/>
      <c r="IE1" s="183"/>
      <c r="IF1" s="183"/>
      <c r="IG1" s="183"/>
      <c r="IH1" s="183"/>
      <c r="II1" s="183"/>
      <c r="IJ1" s="183"/>
      <c r="IK1" s="183"/>
      <c r="IL1" s="183"/>
      <c r="IM1" s="183"/>
      <c r="IN1" s="183"/>
      <c r="IO1" s="183"/>
      <c r="IP1" s="183"/>
      <c r="IQ1" s="183"/>
    </row>
    <row r="2" spans="1:268" ht="12.75" customHeight="1" thickBot="1">
      <c r="I2" s="290"/>
      <c r="J2" s="290"/>
      <c r="K2" s="290"/>
      <c r="L2" s="290"/>
      <c r="M2" s="290"/>
      <c r="N2" s="290"/>
      <c r="Q2" s="340">
        <v>1</v>
      </c>
      <c r="R2" s="104">
        <f>IF(S2="","",VLOOKUP(S2,Draw!$H$3:$I$20,2,FALSE))</f>
        <v>9</v>
      </c>
      <c r="S2" s="747" t="str">
        <f>Draw!H3</f>
        <v>Per-Anders Lindstrom</v>
      </c>
      <c r="T2" s="998"/>
      <c r="U2" s="745"/>
      <c r="V2" s="746"/>
      <c r="W2" s="1">
        <f>IF(H12&lt;&gt;"",F12,IF($L12&lt;&gt;"",$L12,IF($M12="","",$M12)))</f>
        <v>0</v>
      </c>
      <c r="X2" s="2">
        <f>IF(H29&lt;&gt;"",F29,IF($L29&lt;&gt;"",$L29,IF($M29="","",$M29)))</f>
        <v>0</v>
      </c>
      <c r="Y2" s="312">
        <f>IF(W14&lt;&gt;"",U14,IF($AA14&lt;&gt;"",$AA14,IF($AB14="","",$AB14)))</f>
        <v>1</v>
      </c>
      <c r="Z2" s="2">
        <f>IF(W31&lt;&gt;"",U31,IF($AA31&lt;&gt;"",$AA31,IF($AB31="","",$AB31)))</f>
        <v>1</v>
      </c>
      <c r="AA2" s="2">
        <f>IF(AL12&lt;&gt;"",AJ12,IF($AP12&lt;&gt;"",$AP12,IF($AQ12="","",$AQ12)))</f>
        <v>0</v>
      </c>
      <c r="AB2" s="6">
        <f>IF(W2="","",SUM(W2:AA2))</f>
        <v>2</v>
      </c>
      <c r="AC2" s="56">
        <f t="shared" ref="AC2:AC10" si="0">IF($AQ$27="","",SUMIF($CH$3:$CH$20,S2,$CC$3:$CC$20))</f>
        <v>14</v>
      </c>
      <c r="AF2" s="340">
        <v>9</v>
      </c>
      <c r="AG2" s="104">
        <f>IF(AH2="","",VLOOKUP(AH2,Draw!$H$3:$I$20,2,FALSE))</f>
        <v>1</v>
      </c>
      <c r="AH2" s="747" t="str">
        <f>Draw!H11</f>
        <v>Daniil Ivanov</v>
      </c>
      <c r="AI2" s="998"/>
      <c r="AJ2" s="542"/>
      <c r="AK2" s="543"/>
      <c r="AL2" s="1">
        <f>IF(H22&lt;&gt;"",F22,IF($L22&lt;&gt;"",$L22,IF($M22="","",$M22)))</f>
        <v>3</v>
      </c>
      <c r="AM2" s="2">
        <f>IF(H31&lt;&gt;"",F31,IF($L31&lt;&gt;"",$L31,IF($M31="","",$M31)))</f>
        <v>3</v>
      </c>
      <c r="AN2" s="2">
        <f>IF(W21&lt;&gt;"",U21,IF($AA21&lt;&gt;"",$AA21,IF($AB21="","",$AB21)))</f>
        <v>3</v>
      </c>
      <c r="AO2" s="2">
        <f>IF(W40&lt;&gt;"",U40,IF($AA40&lt;&gt;"",$AA40,IF($AB40="","",$AB40)))</f>
        <v>2</v>
      </c>
      <c r="AP2" s="2">
        <f>IF(AL16&lt;&gt;"",AJ16,IF($AP16&lt;&gt;"",$AP16,IF($AQ16="","",$AQ16)))</f>
        <v>2</v>
      </c>
      <c r="AQ2" s="6">
        <f t="shared" ref="AQ2:AQ10" si="1">IF(AL2="","",SUM(AL2:AP2))</f>
        <v>13</v>
      </c>
      <c r="AR2" s="56">
        <f>IF($AQ$27="","",SUMIF($CH$3:$CH$20,AH2,$CC$3:$CC$20))</f>
        <v>3</v>
      </c>
      <c r="AT2" s="1100" t="s">
        <v>12</v>
      </c>
      <c r="AU2" s="1101"/>
      <c r="AV2" s="719">
        <f>IF(BV7=0,0,SUM(BV7/BZ7))</f>
        <v>0.30434782608695654</v>
      </c>
      <c r="AW2" s="1096">
        <f>BV9</f>
        <v>36</v>
      </c>
      <c r="AX2" s="1097"/>
      <c r="AY2" s="1096">
        <f>COUNTIF($BL$12:$BL$43,3)+COUNTIF($BQ$12:$BQ$43,3)+COUNTIF($BV$12:$BV$43,3)</f>
        <v>7</v>
      </c>
      <c r="AZ2" s="1097"/>
      <c r="BA2" s="1096">
        <f>COUNTIF($BL$12:$BL$43,2)+COUNTIF($BQ$12:$BQ$43,2)+COUNTIF($BV$12:$BV$43,2)</f>
        <v>5</v>
      </c>
      <c r="BB2" s="1097"/>
      <c r="BC2" s="1096">
        <f>COUNTIF($BL$12:$BL$43,1)+COUNTIF($BQ$12:$BQ$43,1)+COUNTIF($BV$12:$BV$43,1)</f>
        <v>5</v>
      </c>
      <c r="BD2" s="1097"/>
      <c r="BE2"/>
      <c r="CC2" s="1124" t="s">
        <v>3</v>
      </c>
      <c r="CD2" s="1125"/>
      <c r="CE2" s="178" t="s">
        <v>3</v>
      </c>
      <c r="CF2" s="179"/>
      <c r="CG2" s="1122" t="s">
        <v>2</v>
      </c>
      <c r="CH2" s="1123"/>
      <c r="CI2" s="150"/>
      <c r="CJ2" s="63"/>
      <c r="CK2" s="67"/>
      <c r="CL2" s="67"/>
      <c r="CM2" s="67"/>
      <c r="CN2" s="72"/>
      <c r="CO2" s="42" t="s">
        <v>0</v>
      </c>
      <c r="CP2" s="200" t="s">
        <v>12</v>
      </c>
      <c r="CQ2" s="245"/>
      <c r="CR2" s="1164"/>
      <c r="CS2" s="1158"/>
      <c r="CT2" s="201" t="s">
        <v>4</v>
      </c>
      <c r="CU2" s="202"/>
      <c r="CV2" s="202" t="s">
        <v>21</v>
      </c>
      <c r="CW2" s="203" t="s">
        <v>2</v>
      </c>
      <c r="CX2" s="204"/>
      <c r="CY2" s="204"/>
      <c r="CZ2" s="204"/>
      <c r="DA2" s="204"/>
      <c r="DB2" s="204"/>
      <c r="DC2" s="246" t="s">
        <v>0</v>
      </c>
      <c r="DD2" s="1137" t="s">
        <v>14</v>
      </c>
      <c r="DE2" s="1127"/>
      <c r="DF2" s="1126" t="s">
        <v>15</v>
      </c>
      <c r="DG2" s="1127"/>
      <c r="DH2" s="1126" t="s">
        <v>17</v>
      </c>
      <c r="DI2" s="1137"/>
      <c r="DJ2" s="1138" t="s">
        <v>192</v>
      </c>
      <c r="DK2" s="1139"/>
      <c r="DL2" s="1160"/>
      <c r="DM2" s="1118"/>
      <c r="DN2" s="1118"/>
      <c r="DO2" s="1118"/>
      <c r="DP2" s="1118"/>
      <c r="DQ2" s="592"/>
      <c r="DR2" s="242">
        <f>$R$2</f>
        <v>9</v>
      </c>
      <c r="DS2" s="222">
        <f>$R$3</f>
        <v>3</v>
      </c>
      <c r="DT2" s="222">
        <f>$R$4</f>
        <v>10</v>
      </c>
      <c r="DU2" s="222">
        <f>$R$5</f>
        <v>6</v>
      </c>
      <c r="DV2" s="222">
        <f>$R$6</f>
        <v>14</v>
      </c>
      <c r="DW2" s="222">
        <f>$R$7</f>
        <v>16</v>
      </c>
      <c r="DX2" s="222">
        <f>$R$8</f>
        <v>4</v>
      </c>
      <c r="DY2" s="222">
        <f>$R$9</f>
        <v>7</v>
      </c>
      <c r="DZ2" s="222">
        <f>$AG$2</f>
        <v>1</v>
      </c>
      <c r="EA2" s="222">
        <f>$AG$3</f>
        <v>12</v>
      </c>
      <c r="EB2" s="222">
        <f>$AG$4</f>
        <v>15</v>
      </c>
      <c r="EC2" s="222">
        <f>$AG$5</f>
        <v>11</v>
      </c>
      <c r="ED2" s="222">
        <f>$AG$6</f>
        <v>19</v>
      </c>
      <c r="EE2" s="222">
        <f>$AG$7</f>
        <v>8</v>
      </c>
      <c r="EF2" s="222">
        <f>$AG$8</f>
        <v>2</v>
      </c>
      <c r="EG2" s="223">
        <f>$AG$9</f>
        <v>5</v>
      </c>
      <c r="EH2" s="228"/>
      <c r="EI2" s="221">
        <f>$R$2</f>
        <v>9</v>
      </c>
      <c r="EJ2" s="222">
        <f>$R$3</f>
        <v>3</v>
      </c>
      <c r="EK2" s="222">
        <f>$R$4</f>
        <v>10</v>
      </c>
      <c r="EL2" s="222">
        <f>$R$5</f>
        <v>6</v>
      </c>
      <c r="EM2" s="222">
        <f>$R$6</f>
        <v>14</v>
      </c>
      <c r="EN2" s="222">
        <f>$R$7</f>
        <v>16</v>
      </c>
      <c r="EO2" s="222">
        <f>$R$8</f>
        <v>4</v>
      </c>
      <c r="EP2" s="222">
        <f>$R$9</f>
        <v>7</v>
      </c>
      <c r="EQ2" s="222">
        <f>$AG$2</f>
        <v>1</v>
      </c>
      <c r="ER2" s="222">
        <f>$AG$3</f>
        <v>12</v>
      </c>
      <c r="ES2" s="222">
        <f>$AG$4</f>
        <v>15</v>
      </c>
      <c r="ET2" s="222">
        <f>$AG$5</f>
        <v>11</v>
      </c>
      <c r="EU2" s="222">
        <f>$AG$6</f>
        <v>19</v>
      </c>
      <c r="EV2" s="222">
        <f>$AG$7</f>
        <v>8</v>
      </c>
      <c r="EW2" s="222">
        <f>$AG$8</f>
        <v>2</v>
      </c>
      <c r="EX2" s="223">
        <f>$AG$9</f>
        <v>5</v>
      </c>
      <c r="EY2" s="1169"/>
      <c r="FA2" s="220" t="s">
        <v>21</v>
      </c>
      <c r="FB2" s="109"/>
      <c r="FC2" s="1105"/>
      <c r="FD2" s="1105"/>
      <c r="FE2" s="1107"/>
      <c r="FF2" s="1105"/>
      <c r="FG2" s="1162"/>
      <c r="FH2" s="1116"/>
      <c r="FI2" s="1162"/>
      <c r="FJ2" s="1162"/>
      <c r="FK2" s="1175"/>
      <c r="FL2" s="709"/>
      <c r="FM2" s="709" t="s">
        <v>189</v>
      </c>
      <c r="FN2" s="109"/>
      <c r="FO2" s="109"/>
      <c r="FP2" s="677"/>
      <c r="FQ2" s="109"/>
      <c r="FS2" s="217" t="s">
        <v>21</v>
      </c>
      <c r="FT2" s="221">
        <f>$R$2</f>
        <v>9</v>
      </c>
      <c r="FU2" s="222">
        <f>$R$3</f>
        <v>3</v>
      </c>
      <c r="FV2" s="222">
        <f>$R$4</f>
        <v>10</v>
      </c>
      <c r="FW2" s="222">
        <f>$R$5</f>
        <v>6</v>
      </c>
      <c r="FX2" s="222">
        <f>$R$6</f>
        <v>14</v>
      </c>
      <c r="FY2" s="222">
        <f>$R$7</f>
        <v>16</v>
      </c>
      <c r="FZ2" s="222">
        <f>$R$8</f>
        <v>4</v>
      </c>
      <c r="GA2" s="222">
        <f>$R$9</f>
        <v>7</v>
      </c>
      <c r="GB2" s="222">
        <f>$AG$2</f>
        <v>1</v>
      </c>
      <c r="GC2" s="222">
        <f>$AG$3</f>
        <v>12</v>
      </c>
      <c r="GD2" s="222">
        <f>$AG$4</f>
        <v>15</v>
      </c>
      <c r="GE2" s="222">
        <f>$AG$5</f>
        <v>11</v>
      </c>
      <c r="GF2" s="222">
        <f>$AG$6</f>
        <v>19</v>
      </c>
      <c r="GG2" s="222">
        <f>$AG$7</f>
        <v>8</v>
      </c>
      <c r="GH2" s="222">
        <f>$AG$8</f>
        <v>2</v>
      </c>
      <c r="GI2" s="223">
        <f>$AG$9</f>
        <v>5</v>
      </c>
    </row>
    <row r="3" spans="1:268" ht="12.75" customHeight="1" thickBot="1">
      <c r="I3" s="290"/>
      <c r="J3" s="290"/>
      <c r="K3" s="290"/>
      <c r="L3" s="290"/>
      <c r="M3" s="290"/>
      <c r="N3" s="290"/>
      <c r="Q3" s="341">
        <v>2</v>
      </c>
      <c r="R3" s="104">
        <f>IF(S3="","",VLOOKUP(S3,Draw!$H$3:$I$20,2,FALSE))</f>
        <v>3</v>
      </c>
      <c r="S3" s="748" t="str">
        <f>Draw!H4</f>
        <v>Dimitry Khomitsevich</v>
      </c>
      <c r="T3" s="999"/>
      <c r="U3" s="741"/>
      <c r="V3" s="742"/>
      <c r="W3" s="3">
        <f>IF(H13&lt;&gt;"",F13,IF($L13&lt;&gt;"",$L13,IF($M13="","",$M13)))</f>
        <v>3</v>
      </c>
      <c r="X3" s="4">
        <f>IF(H34&lt;&gt;"",F34,IF($L34&lt;&gt;"",$L34,IF($M34="","",$M34)))</f>
        <v>3</v>
      </c>
      <c r="Y3" s="4">
        <f>IF(W19&lt;&gt;"",U19,IF($AA19&lt;&gt;"",$AA19,IF($AB19="","",$AB19)))</f>
        <v>2</v>
      </c>
      <c r="Z3" s="4">
        <f>IF(W32&lt;&gt;"",U32,IF($AA32&lt;&gt;"",$AA32,IF($AB32="","",$AB32)))</f>
        <v>3</v>
      </c>
      <c r="AA3" s="4">
        <f>IF(AL17&lt;&gt;"",AJ17,IF($AP17&lt;&gt;"",$AP17,IF($AQ17="","",$AQ17)))</f>
        <v>3</v>
      </c>
      <c r="AB3" s="7">
        <f t="shared" ref="AB3:AB10" si="2">IF(W3="","",SUM(W3:AA3))</f>
        <v>14</v>
      </c>
      <c r="AC3" s="57">
        <f t="shared" si="0"/>
        <v>2</v>
      </c>
      <c r="AF3" s="341">
        <v>10</v>
      </c>
      <c r="AG3" s="104">
        <f>IF(AH3="","",VLOOKUP(AH3,Draw!$H$3:$I$20,2,FALSE))</f>
        <v>12</v>
      </c>
      <c r="AH3" s="748" t="str">
        <f>Draw!H12</f>
        <v>Hans Weber</v>
      </c>
      <c r="AI3" s="999"/>
      <c r="AJ3" s="536"/>
      <c r="AK3" s="537"/>
      <c r="AL3" s="3">
        <f>IF(H20&lt;&gt;"",F20,IF($L20&lt;&gt;"",$L20,IF($M20="","",$M20)))</f>
        <v>0</v>
      </c>
      <c r="AM3" s="4">
        <f>IF(H33&lt;&gt;"",F33,IF($L33&lt;&gt;"",$L33,IF($M33="","",$M33)))</f>
        <v>2</v>
      </c>
      <c r="AN3" s="4">
        <f>IF(W26&lt;&gt;"",U26,IF($AA26&lt;&gt;"",$AA26,IF($AB26="","",$AB26)))</f>
        <v>2</v>
      </c>
      <c r="AO3" s="4">
        <f>IF(W38&lt;&gt;"",U38,IF($AA38&lt;&gt;"",$AA38,IF($AB38="","",$AB38)))</f>
        <v>1</v>
      </c>
      <c r="AP3" s="4">
        <f>IF(AL15&lt;&gt;"",AJ15,IF($AP15&lt;&gt;"",$AP15,IF($AQ15="","",$AQ15)))</f>
        <v>1</v>
      </c>
      <c r="AQ3" s="7">
        <f t="shared" si="1"/>
        <v>6</v>
      </c>
      <c r="AR3" s="57">
        <f t="shared" ref="AR3:AR10" si="3">IF($AQ$27="","",SUMIF($CH$3:$CH$20,AH3,$CC$3:$CC$20))</f>
        <v>9</v>
      </c>
      <c r="AT3" s="1079" t="s">
        <v>46</v>
      </c>
      <c r="AU3" s="1080"/>
      <c r="AV3" s="720">
        <f>IF(BW7=0,0,SUM(BW7/BZ7))</f>
        <v>0.34782608695652173</v>
      </c>
      <c r="AW3" s="1081">
        <f>BW9</f>
        <v>38</v>
      </c>
      <c r="AX3" s="1082"/>
      <c r="AY3" s="1081">
        <f>COUNTIF($BM$12:$BM$43,3)+COUNTIF($BR$12:$BR$43,3)+COUNTIF($BW$12:$BW$43,3)</f>
        <v>8</v>
      </c>
      <c r="AZ3" s="1082"/>
      <c r="BA3" s="1081">
        <f>COUNTIF($BM$12:$BM$43,2)+COUNTIF($BR$12:$BR$43,2)+COUNTIF($BW$12:$BW$43,2)</f>
        <v>6</v>
      </c>
      <c r="BB3" s="1082"/>
      <c r="BC3" s="1081">
        <f>COUNTIF($BL$12:$BL$43,1)+COUNTIF($BQ$12:$BQ$43,1)+COUNTIF($BV$12:$BV$43,1)</f>
        <v>5</v>
      </c>
      <c r="BD3" s="1082"/>
      <c r="BE3"/>
      <c r="BK3" s="1119" t="s">
        <v>74</v>
      </c>
      <c r="CC3" s="43">
        <f t="shared" ref="CC3:CC20" si="4">RANK(CI3,CI$3:CI$20)</f>
        <v>1</v>
      </c>
      <c r="CD3" s="44" t="str">
        <f>IF(CC3="","",IF(CC4=CC3,"=",""))</f>
        <v/>
      </c>
      <c r="CE3" s="40">
        <v>1</v>
      </c>
      <c r="CF3" s="119">
        <f t="shared" ref="CF3:CF20" si="5">SUMIF(CW$3:CW$20,CH3,CT$3:CT$20)</f>
        <v>15</v>
      </c>
      <c r="CG3" s="124"/>
      <c r="CH3" s="73" t="str">
        <f>LOOKUP(CR$3,CT$3:CT$20,CW$3:CW$20)</f>
        <v>Dimitry Koltakov</v>
      </c>
      <c r="CI3" s="276">
        <f t="shared" ref="CI3:CI20" si="6">LOOKUP($CR3,$CT$3:$CT$20,DN$3:DN$20)</f>
        <v>15.05</v>
      </c>
      <c r="CJ3" s="81">
        <f t="shared" ref="CJ3:CJ20" si="7">LOOKUP($CR3,$CT$3:$CT$20,CX$3:CX$20)</f>
        <v>3</v>
      </c>
      <c r="CK3" s="68">
        <f t="shared" ref="CK3:CK20" si="8">LOOKUP($CR3,$CT$3:$CT$20,CY$3:CY$20)</f>
        <v>3</v>
      </c>
      <c r="CL3" s="68">
        <f t="shared" ref="CL3:CL20" si="9">LOOKUP($CR3,$CT$3:$CT$20,CZ$3:CZ$20)</f>
        <v>3</v>
      </c>
      <c r="CM3" s="68">
        <f t="shared" ref="CM3:CM20" si="10">LOOKUP($CR3,$CT$3:$CT$20,DA$3:DA$20)</f>
        <v>3</v>
      </c>
      <c r="CN3" s="82">
        <f t="shared" ref="CN3:CN20" si="11">LOOKUP($CR3,$CT$3:$CT$20,DB$3:DB$20)</f>
        <v>3</v>
      </c>
      <c r="CO3" s="77">
        <f>SUMIF($CW$3:$CW$20,$CH3,$DC$3:$DC$20)</f>
        <v>15</v>
      </c>
      <c r="CP3" s="53"/>
      <c r="CQ3" s="247"/>
      <c r="CR3" s="27">
        <f t="shared" ref="CR3:CR20" si="12">SUMIF(CS$3:CS$20,CE3,CT$3:CT$20)</f>
        <v>15</v>
      </c>
      <c r="CS3" s="258">
        <f>RANK(DP3,$DP$3:$DP$20)+COUNTIF(DP$3:DP3,DP3)-1</f>
        <v>14</v>
      </c>
      <c r="CT3" s="23">
        <f t="shared" ref="CT3:CT10" si="13">Q2</f>
        <v>1</v>
      </c>
      <c r="CU3" s="422">
        <f>VLOOKUP(CW3,Draw!$B$3:$C$42,2,FALSE)</f>
        <v>9</v>
      </c>
      <c r="CV3" s="417">
        <f>VLOOKUP(CW3,Draw!$B$3:$C$42,2,FALSE)</f>
        <v>9</v>
      </c>
      <c r="CW3" s="24" t="str">
        <f t="shared" ref="CW3:CW10" si="14">S2</f>
        <v>Per-Anders Lindstrom</v>
      </c>
      <c r="CX3" s="25">
        <f t="shared" ref="CX3:DB10" si="15">W2</f>
        <v>0</v>
      </c>
      <c r="CY3" s="25">
        <f t="shared" si="15"/>
        <v>0</v>
      </c>
      <c r="CZ3" s="25">
        <f t="shared" si="15"/>
        <v>1</v>
      </c>
      <c r="DA3" s="25">
        <f t="shared" si="15"/>
        <v>1</v>
      </c>
      <c r="DB3" s="28">
        <f t="shared" si="15"/>
        <v>0</v>
      </c>
      <c r="DC3" s="248">
        <f t="shared" ref="DC3:DC20" si="16">SUM(CX3:DB3)</f>
        <v>2</v>
      </c>
      <c r="DD3" s="243">
        <f t="shared" ref="DD3:DD20" si="17">COUNTIF(CX3:DB3,3)</f>
        <v>0</v>
      </c>
      <c r="DE3" s="236">
        <f>IF(DD3=0,0,DD3/100)</f>
        <v>0</v>
      </c>
      <c r="DF3" s="232">
        <f t="shared" ref="DF3:DF20" si="18">COUNTIF(CX3:DB3,2)</f>
        <v>0</v>
      </c>
      <c r="DG3" s="234">
        <f>IF(DF3=0,0,DF3/1000)</f>
        <v>0</v>
      </c>
      <c r="DH3" s="232">
        <f t="shared" ref="DH3:DH20" si="19">COUNTIF(CX3:DB3,1)</f>
        <v>2</v>
      </c>
      <c r="DI3" s="41">
        <f>IF(DH3=0,0,DH3/10000)</f>
        <v>2.0000000000000001E-4</v>
      </c>
      <c r="DJ3" s="271">
        <f t="shared" ref="DJ3:DJ20" si="20">COUNTIF(CX3:DB3,0)</f>
        <v>3</v>
      </c>
      <c r="DK3" s="602">
        <f>IF(DJ3=0,0,SUM((DJ3/100000)))</f>
        <v>3.0000000000000001E-5</v>
      </c>
      <c r="DL3" s="281">
        <f t="shared" ref="DL3:DL18" si="21">IF(EY3=0,0,EY3/1000000)</f>
        <v>9.9999999999999995E-7</v>
      </c>
      <c r="DM3" s="642">
        <f>SUM((60-$CU3)/100000000)</f>
        <v>5.0999999999999999E-7</v>
      </c>
      <c r="DN3" s="283">
        <f t="shared" ref="DN3:DN20" si="22">SUM(DC3+DE3+DG3+DI3+DK3)</f>
        <v>2.0002300000000002</v>
      </c>
      <c r="DO3" s="283">
        <f t="shared" ref="DO3:DO20" si="23">DN3+DL3</f>
        <v>2.0002310000000003</v>
      </c>
      <c r="DP3" s="646">
        <f>SUM(DO3+DM3)</f>
        <v>2.0002315100000003</v>
      </c>
      <c r="DQ3" s="593"/>
      <c r="DR3" s="207"/>
      <c r="DS3" s="91" t="str">
        <f>IF($DN$3=$DN$4,$CV$3,"")</f>
        <v/>
      </c>
      <c r="DT3" s="91" t="str">
        <f>IF($DN$3=$DN$5,$CV$3,"")</f>
        <v/>
      </c>
      <c r="DU3" s="91" t="str">
        <f>IF($DN$3=$DN$6,$CV$3,"")</f>
        <v/>
      </c>
      <c r="DV3" s="91" t="str">
        <f>IF($DN$3=$DN$7,$CV$3,"")</f>
        <v/>
      </c>
      <c r="DW3" s="91" t="str">
        <f>IF($DN$3=$DN$8,$CV$3,"")</f>
        <v/>
      </c>
      <c r="DX3" s="91" t="str">
        <f>IF($DN$3=$DN$9,$CV$3,"")</f>
        <v/>
      </c>
      <c r="DY3" s="91" t="str">
        <f>IF($DN$3=$DN$10,$CV$3,"")</f>
        <v/>
      </c>
      <c r="DZ3" s="91" t="str">
        <f>IF($DN$3=$DN$11,$CV$3,"")</f>
        <v/>
      </c>
      <c r="EA3" s="91" t="str">
        <f>IF($DN$3=$DN$12,$CV$3,"")</f>
        <v/>
      </c>
      <c r="EB3" s="91" t="str">
        <f>IF($DN$3=$DN$13,$CV$3,"")</f>
        <v/>
      </c>
      <c r="EC3" s="91" t="str">
        <f>IF($DN$3=$DN$14,$CV$3,"")</f>
        <v/>
      </c>
      <c r="ED3" s="91" t="str">
        <f>IF($DN$3=$DN$15,$CV$3,"")</f>
        <v/>
      </c>
      <c r="EE3" s="91">
        <f>IF($DN$3=$DN$16,$CV$3,"")</f>
        <v>9</v>
      </c>
      <c r="EF3" s="91" t="str">
        <f>IF($DN$3=$DN$17,$CV$3,"")</f>
        <v/>
      </c>
      <c r="EG3" s="224" t="str">
        <f>IF($DN$3=$DN$18,$CV$3,"")</f>
        <v/>
      </c>
      <c r="EH3" s="214">
        <f>$R$2</f>
        <v>9</v>
      </c>
      <c r="EI3" s="207"/>
      <c r="EJ3" s="91" t="str">
        <f>IF($DS$3="","",$FU$3)</f>
        <v/>
      </c>
      <c r="EK3" s="91" t="str">
        <f>IF($DT$3="","",$FV$3)</f>
        <v/>
      </c>
      <c r="EL3" s="91" t="str">
        <f>IF($DU$3="","",$FW$3)</f>
        <v/>
      </c>
      <c r="EM3" s="91" t="str">
        <f>IF($DV$3="","",$FX$3)</f>
        <v/>
      </c>
      <c r="EN3" s="91" t="str">
        <f>IF($DW$3="","",$FY$3)</f>
        <v/>
      </c>
      <c r="EO3" s="91" t="str">
        <f>IF($DX$3="","",$FZ$3)</f>
        <v/>
      </c>
      <c r="EP3" s="91" t="str">
        <f>IF($DY$3="","",$GA$3)</f>
        <v/>
      </c>
      <c r="EQ3" s="91" t="str">
        <f>IF($DZ$3="","",$GB$3)</f>
        <v/>
      </c>
      <c r="ER3" s="91" t="str">
        <f>IF($EA$3="","",$GC$3)</f>
        <v/>
      </c>
      <c r="ES3" s="91" t="str">
        <f>IF($EB$3="","",$GD$3)</f>
        <v/>
      </c>
      <c r="ET3" s="91" t="str">
        <f>IF($EC$3="","",$GE$3)</f>
        <v/>
      </c>
      <c r="EU3" s="91" t="str">
        <f>IF($ED$3="","",$GF$3)</f>
        <v/>
      </c>
      <c r="EV3" s="91">
        <f>IF($EE$3="","",$GG$3)</f>
        <v>9</v>
      </c>
      <c r="EW3" s="91" t="str">
        <f>IF($EF$3="","",$GH$3)</f>
        <v/>
      </c>
      <c r="EX3" s="224" t="str">
        <f>IF($EG$3="","",$GI$3)</f>
        <v/>
      </c>
      <c r="EY3" s="229">
        <f>COUNTIF($EI$3:$EX$3,$EH$3)</f>
        <v>1</v>
      </c>
      <c r="FA3" s="130">
        <f t="shared" ref="FA3:FA20" si="24">CV3</f>
        <v>9</v>
      </c>
      <c r="FB3" s="13" t="str">
        <f t="shared" ref="FB3:FB20" si="25">CW3</f>
        <v>Per-Anders Lindstrom</v>
      </c>
      <c r="FC3" s="129">
        <f>SUMIF($AG$32:$AG$39,$CV3,$AQ$32:$AQ$39)</f>
        <v>0</v>
      </c>
      <c r="FD3" s="129">
        <f t="shared" ref="FD3:FD19" si="26">SUMIF($AG$40:$AG$43,$CV3,$AQ$40:$AQ$43)</f>
        <v>0</v>
      </c>
      <c r="FE3" s="504">
        <v>0</v>
      </c>
      <c r="FF3" s="129">
        <f>IF(FB3=AH$40,1,IF(FB3=AH$41,1,IF(FB3=AH$42,1,IF(FB3=AH$43,1,0))))</f>
        <v>0</v>
      </c>
      <c r="FG3" s="483">
        <f t="shared" ref="FG3:FG20" si="27">IF(FD3&lt;&gt;0,DC3+SUM(FC3:FD3),DP3+SUM(FC3:FD3))</f>
        <v>2.0002315100000003</v>
      </c>
      <c r="FH3" s="483">
        <f>SUM(FG3+FE3)</f>
        <v>2.0002315100000003</v>
      </c>
      <c r="FI3" s="176">
        <f>IF(AND(FD3=0,FF3=0),FG3,IF(FG3,IF(FD3=3,30,IF(FD3=2,29,IF(FD3=1,28,IF(AND(AND(FF3=1,FE3=0,FD3=0)),SUM(27+(FG3/1000))))))))</f>
        <v>2.0002315100000003</v>
      </c>
      <c r="FJ3" s="484">
        <f t="shared" ref="FJ3:FJ20" si="28">MAX(FG3:FI3)</f>
        <v>2.0002315100000003</v>
      </c>
      <c r="FK3" s="16">
        <f t="shared" ref="FK3:FK20" si="29">RANK(FJ3,FJ$3:FJ$20)</f>
        <v>14</v>
      </c>
      <c r="FL3" s="710">
        <v>1</v>
      </c>
      <c r="FM3" s="717">
        <f>SUM(DC3+FC3+FD3)</f>
        <v>2</v>
      </c>
      <c r="FN3" s="512"/>
      <c r="FO3" s="623" t="str">
        <f>VLOOKUP($FL3,EZ$27:FB$44,3,FALSE)</f>
        <v>Dimitry Koltakov</v>
      </c>
      <c r="FP3" s="678">
        <f>VLOOKUP($FO3,$FB$66:$FC$83,2,FALSE)</f>
        <v>21</v>
      </c>
      <c r="FQ3" s="13">
        <f t="shared" ref="FQ3:FQ20" si="30">COUNTIF(AH$40:AH$43,FO3)</f>
        <v>1</v>
      </c>
      <c r="FS3" s="214">
        <f>$R$2</f>
        <v>9</v>
      </c>
      <c r="FT3" s="207"/>
      <c r="FU3" s="91">
        <f>IF($M$12&gt;$M$13,$FS$3,IF($M$13&gt;$M$12,$FS$4))</f>
        <v>3</v>
      </c>
      <c r="FV3" s="91">
        <f>IF($M$12&gt;$M$14,$FS$3,IF($M$14&gt;$M$12,$FS$5,""))</f>
        <v>10</v>
      </c>
      <c r="FW3" s="91">
        <f>IF($M$12&gt;$M$15,$FS$3,IF($M$15&gt;$M$12,$FS$6,""))</f>
        <v>6</v>
      </c>
      <c r="FX3" s="91">
        <f>IF($M$29&gt;$M$30,$FS$3,IF($M$30&gt;$M$29,$FS$7,""))</f>
        <v>14</v>
      </c>
      <c r="FY3" s="91">
        <f>IF($AB$14&gt;$AB$12,$FS$3,IF($AB$12&gt;$AB$14,$FS$8,""))</f>
        <v>9</v>
      </c>
      <c r="FZ3" s="91">
        <f>IF($AB$31&gt;$AB$28,$FS$3,IF($AB$28&gt;$AB$31,$FS$9,""))</f>
        <v>4</v>
      </c>
      <c r="GA3" s="91">
        <f>IF($AQ$12&gt;$AQ$13,$FS$3,IF($AQ$13&gt;$AQ$12,$FS$10,""))</f>
        <v>7</v>
      </c>
      <c r="GB3" s="91">
        <f>IF($M$29&gt;$M$31,$FS$3,IF($M$31&gt;$M$29,$FS$11,""))</f>
        <v>1</v>
      </c>
      <c r="GC3" s="91">
        <f>IF($AQ$12&gt;$AQ$15,$FS$3,IF($AQ$15&gt;$AQ$12,$FS$12,""))</f>
        <v>12</v>
      </c>
      <c r="GD3" s="91">
        <f>IF($AB$14&gt;$AB$15,$FS$3,IF($AB$15&gt;$AB$14,$FS$13,""))</f>
        <v>15</v>
      </c>
      <c r="GE3" s="91">
        <f>IF($AB$31&gt;$AB$29,$FS$3,IF($AB$29&gt;$AB$31,$FS$14,""))</f>
        <v>11</v>
      </c>
      <c r="GF3" s="91">
        <f>IF($M$29&gt;$M$28,$FS$3,IF($M$28&gt;$M$29,$FS$15,""))</f>
        <v>19</v>
      </c>
      <c r="GG3" s="91">
        <f>IF($AB$31&gt;$AB$30,$FS$3,IF($AB$30&gt;$AB$31,$FS$16,""))</f>
        <v>9</v>
      </c>
      <c r="GH3" s="91">
        <f>IF($AQ$12&gt;$AQ$14,$FS$3,IF($AQ$14&gt;$AQ$12,$FS$17,""))</f>
        <v>2</v>
      </c>
      <c r="GI3" s="210">
        <f>IF($AB$14&gt;$AB$13,$FS$3,IF($AB$13&gt;$AB$14,$FS$18,""))</f>
        <v>5</v>
      </c>
      <c r="GK3" s="8">
        <v>1</v>
      </c>
      <c r="GL3" s="292"/>
      <c r="GM3" s="293"/>
      <c r="GN3" s="293"/>
      <c r="GO3" s="293"/>
      <c r="GP3" s="294"/>
      <c r="GQ3" s="229">
        <f>COUNTIF(CX3:DB3,"Fx")+COUNTIF(CX3:DB3,"M")+COUNTIF(CX3:DB3,"T")+COUNTIF(CX3:DB3,"X")+COUNTIF(CX3:DB3,"N")+COUNTIF(CX3:DB3,"NS")+COUNTIF(CX3:DB3,"F")+COUNTIF(CX3:DB3,"R")+COUNTIF(CX3:DB3,"FN")</f>
        <v>0</v>
      </c>
      <c r="GR3" s="601">
        <f>GQ3/1000000</f>
        <v>0</v>
      </c>
      <c r="GX3" s="1179" t="str">
        <f>S10</f>
        <v>Simon Reitsma</v>
      </c>
      <c r="HH3" s="1179" t="str">
        <f>AH10</f>
        <v>Max Niedermaier</v>
      </c>
    </row>
    <row r="4" spans="1:268" ht="12.75" customHeight="1" thickBot="1">
      <c r="I4" s="290"/>
      <c r="J4" s="290"/>
      <c r="K4" s="290"/>
      <c r="L4" s="290"/>
      <c r="M4" s="290"/>
      <c r="N4" s="290"/>
      <c r="Q4" s="341">
        <v>3</v>
      </c>
      <c r="R4" s="104">
        <f>IF(S4="","",VLOOKUP(S4,Draw!$H$3:$I$20,2,FALSE))</f>
        <v>10</v>
      </c>
      <c r="S4" s="749" t="str">
        <f>Draw!H5</f>
        <v>Franz Zorn</v>
      </c>
      <c r="T4" s="1000"/>
      <c r="U4" s="741"/>
      <c r="V4" s="742"/>
      <c r="W4" s="3">
        <f>IF(H14&lt;&gt;"",F14,IF($L14&lt;&gt;"",$L14,IF($M14="","",$M14)))</f>
        <v>2</v>
      </c>
      <c r="X4" s="4">
        <f>IF(H39&lt;&gt;"",F39,IF($L39&lt;&gt;"",$L39,IF($M39="","",$M39)))</f>
        <v>1</v>
      </c>
      <c r="Y4" s="4">
        <f>IF(W22&lt;&gt;"",U22,IF($AA22&lt;&gt;"",$AA22,IF($AB22="","",$AB22)))</f>
        <v>2</v>
      </c>
      <c r="Z4" s="4">
        <f>IF(W37&lt;&gt;"",U37,IF($AA37&lt;&gt;"",$AA37,IF($AB37="","",$AB37)))</f>
        <v>3</v>
      </c>
      <c r="AA4" s="4">
        <f>IF(AL20&lt;&gt;"",AJ20,IF($AP20&lt;&gt;"",$AP20,IF($AQ20="","",$AQ20)))</f>
        <v>2</v>
      </c>
      <c r="AB4" s="7">
        <f t="shared" si="2"/>
        <v>10</v>
      </c>
      <c r="AC4" s="57">
        <f t="shared" si="0"/>
        <v>6</v>
      </c>
      <c r="AF4" s="341">
        <v>11</v>
      </c>
      <c r="AG4" s="104">
        <f>IF(AH4="","",VLOOKUP(AH4,Draw!$H$3:$I$20,2,FALSE))</f>
        <v>15</v>
      </c>
      <c r="AH4" s="749" t="str">
        <f>Draw!H13</f>
        <v>Harald Simon</v>
      </c>
      <c r="AI4" s="1004"/>
      <c r="AJ4" s="540"/>
      <c r="AK4" s="541"/>
      <c r="AL4" s="3">
        <f>IF(H21&lt;&gt;"",F21,IF($L21&lt;&gt;"",$L21,IF($M21="","",$M21)))</f>
        <v>1</v>
      </c>
      <c r="AM4" s="4">
        <f>IF(H36&lt;&gt;"",F36,IF($L36&lt;&gt;"",$L36,IF($M36="","",$M36)))</f>
        <v>0</v>
      </c>
      <c r="AN4" s="4">
        <f>IF(W15&lt;&gt;"",U15,IF($AA15&lt;&gt;"",$AA15,IF($AB15="","",$AB15)))</f>
        <v>2</v>
      </c>
      <c r="AO4" s="4">
        <f>IF(W35&lt;&gt;"",U35,IF($AA35&lt;&gt;"",$AA35,IF($AB35="","",$AB35)))</f>
        <v>1</v>
      </c>
      <c r="AP4" s="4">
        <f>IF(AL26&lt;&gt;"",AJ26,IF($AP26&lt;&gt;"",$AP26,IF($AQ26="","",$AQ26)))</f>
        <v>0</v>
      </c>
      <c r="AQ4" s="7">
        <f t="shared" si="1"/>
        <v>4</v>
      </c>
      <c r="AR4" s="57">
        <f t="shared" si="3"/>
        <v>12</v>
      </c>
      <c r="AT4" s="1079" t="s">
        <v>221</v>
      </c>
      <c r="AU4" s="1080"/>
      <c r="AV4" s="721">
        <f>IF(BX7=0,0,SUM(BX7/BZ7))</f>
        <v>0.21739130434782608</v>
      </c>
      <c r="AW4" s="1083">
        <f>BX9</f>
        <v>36</v>
      </c>
      <c r="AX4" s="1084"/>
      <c r="AY4" s="1083">
        <f>COUNTIF($BN$12:$BN$43,3)+COUNTIF($BS$12:$BS$43,3)+COUNTIF($BX$12:$BX$43,3)</f>
        <v>5</v>
      </c>
      <c r="AZ4" s="1084"/>
      <c r="BA4" s="1083">
        <f>COUNTIF($BN$12:$BN$43,2)+COUNTIF($BS$12:$BS$43,2)+COUNTIF($BX$12:$BX$43,2)</f>
        <v>6</v>
      </c>
      <c r="BB4" s="1084"/>
      <c r="BC4" s="1083">
        <f>COUNTIF($BN$12:$BN$43,1)+COUNTIF($BS$12:$BS$43,1)+COUNTIF($BX$12:$BX$43,1)</f>
        <v>9</v>
      </c>
      <c r="BD4" s="1084"/>
      <c r="BE4"/>
      <c r="BK4" s="1120"/>
      <c r="CC4" s="49">
        <f t="shared" si="4"/>
        <v>2</v>
      </c>
      <c r="CD4" s="50" t="str">
        <f t="shared" ref="CD4:CD17" si="31">IF(CC4="","",IF(OR(CC5=CC4,CC3=CC4),"=",""))</f>
        <v/>
      </c>
      <c r="CE4" s="31">
        <v>2</v>
      </c>
      <c r="CF4" s="120">
        <f t="shared" si="5"/>
        <v>2</v>
      </c>
      <c r="CG4" s="125"/>
      <c r="CH4" s="74" t="str">
        <f t="shared" ref="CH4:CH20" si="32">LOOKUP(CR4,CT$3:CT$20,CW$3:CW$20)</f>
        <v>Dimitry Khomitsevich</v>
      </c>
      <c r="CI4" s="277">
        <f t="shared" si="6"/>
        <v>14.040999999999999</v>
      </c>
      <c r="CJ4" s="83">
        <f t="shared" si="7"/>
        <v>3</v>
      </c>
      <c r="CK4" s="69">
        <f t="shared" si="8"/>
        <v>3</v>
      </c>
      <c r="CL4" s="69">
        <f t="shared" si="9"/>
        <v>2</v>
      </c>
      <c r="CM4" s="69">
        <f t="shared" si="10"/>
        <v>3</v>
      </c>
      <c r="CN4" s="84">
        <f t="shared" si="11"/>
        <v>3</v>
      </c>
      <c r="CO4" s="78">
        <f t="shared" ref="CO4:CO20" si="33">SUMIF(CW$3:CW$20,CH4,DC$3:DC$20)</f>
        <v>14</v>
      </c>
      <c r="CP4" s="52"/>
      <c r="CQ4" s="249"/>
      <c r="CR4" s="27">
        <f t="shared" si="12"/>
        <v>2</v>
      </c>
      <c r="CS4" s="258">
        <f>RANK(DP4,$DP$3:$DP$20)+COUNTIF(DP$3:DP4,DP4)-1</f>
        <v>2</v>
      </c>
      <c r="CT4" s="32">
        <f t="shared" si="13"/>
        <v>2</v>
      </c>
      <c r="CU4" s="423">
        <f>VLOOKUP(CW4,Draw!$B$3:$C$42,2,FALSE)</f>
        <v>3</v>
      </c>
      <c r="CV4" s="185">
        <f>VLOOKUP(CW4,Draw!$B$3:$C$42,2,FALSE)</f>
        <v>3</v>
      </c>
      <c r="CW4" s="33" t="str">
        <f t="shared" si="14"/>
        <v>Dimitry Khomitsevich</v>
      </c>
      <c r="CX4" s="4">
        <f t="shared" si="15"/>
        <v>3</v>
      </c>
      <c r="CY4" s="4">
        <f t="shared" si="15"/>
        <v>3</v>
      </c>
      <c r="CZ4" s="4">
        <f t="shared" si="15"/>
        <v>2</v>
      </c>
      <c r="DA4" s="4">
        <f t="shared" si="15"/>
        <v>3</v>
      </c>
      <c r="DB4" s="34">
        <f t="shared" si="15"/>
        <v>3</v>
      </c>
      <c r="DC4" s="250">
        <f t="shared" si="16"/>
        <v>14</v>
      </c>
      <c r="DD4" s="243">
        <f t="shared" si="17"/>
        <v>4</v>
      </c>
      <c r="DE4" s="236">
        <f t="shared" ref="DE4:DE20" si="34">IF(DD4=0,0,DD4/100)</f>
        <v>0.04</v>
      </c>
      <c r="DF4" s="232">
        <f t="shared" si="18"/>
        <v>1</v>
      </c>
      <c r="DG4" s="234">
        <f t="shared" ref="DG4:DG20" si="35">IF(DF4=0,0,DF4/1000)</f>
        <v>1E-3</v>
      </c>
      <c r="DH4" s="232">
        <f t="shared" si="19"/>
        <v>0</v>
      </c>
      <c r="DI4" s="41">
        <f t="shared" ref="DI4:DI20" si="36">IF(DH4=0,0,DH4/10000)</f>
        <v>0</v>
      </c>
      <c r="DJ4" s="271">
        <f t="shared" si="20"/>
        <v>0</v>
      </c>
      <c r="DK4" s="602">
        <f t="shared" ref="DK4:DK20" si="37">IF(DJ4=0,0,SUM((DJ4/100000)))</f>
        <v>0</v>
      </c>
      <c r="DL4" s="281">
        <f t="shared" si="21"/>
        <v>0</v>
      </c>
      <c r="DM4" s="643">
        <f>SUM((60-$CU4)/100000000)</f>
        <v>5.7000000000000005E-7</v>
      </c>
      <c r="DN4" s="284">
        <f t="shared" si="22"/>
        <v>14.040999999999999</v>
      </c>
      <c r="DO4" s="284">
        <f t="shared" si="23"/>
        <v>14.040999999999999</v>
      </c>
      <c r="DP4" s="647">
        <f t="shared" ref="DP4:DP20" si="38">SUM(DO4+DM4)</f>
        <v>14.041000569999998</v>
      </c>
      <c r="DQ4" s="594"/>
      <c r="DR4" s="205" t="str">
        <f>IF($DN$4=$DN$3,$CV$4,"")</f>
        <v/>
      </c>
      <c r="DS4" s="208"/>
      <c r="DT4" s="4" t="str">
        <f>IF($DN$4=$DN$5,$CV$4,"")</f>
        <v/>
      </c>
      <c r="DU4" s="4" t="str">
        <f>IF($DN$4=$DN$6,$CV$4,"")</f>
        <v/>
      </c>
      <c r="DV4" s="4" t="str">
        <f>IF($DN$4=$DN$7,$CV$4,"")</f>
        <v/>
      </c>
      <c r="DW4" s="4" t="str">
        <f>IF($DN$4=$DN$8,$CV$4,"")</f>
        <v/>
      </c>
      <c r="DX4" s="4" t="str">
        <f>IF($DN$4=$DN$9,$CV$4,"")</f>
        <v/>
      </c>
      <c r="DY4" s="4" t="str">
        <f>IF($DN$4=$DN$10,$CV$4,"")</f>
        <v/>
      </c>
      <c r="DZ4" s="4" t="str">
        <f>IF($DN$4=$DN$11,$CV$4,"")</f>
        <v/>
      </c>
      <c r="EA4" s="4" t="str">
        <f>IF($DN$4=$DN$12,$CV$4,"")</f>
        <v/>
      </c>
      <c r="EB4" s="4" t="str">
        <f>IF($DN$4=$DN$13,$CV$4,"")</f>
        <v/>
      </c>
      <c r="EC4" s="4" t="str">
        <f>IF($DN$4=$DN$14,$CV$4,"")</f>
        <v/>
      </c>
      <c r="ED4" s="4" t="str">
        <f>IF($DN$4=$DN$15,$CV$4,"")</f>
        <v/>
      </c>
      <c r="EE4" s="4" t="str">
        <f>IF($DN$4=$DN$16,$CV$4,"")</f>
        <v/>
      </c>
      <c r="EF4" s="4" t="str">
        <f>IF($DN$4=$DN$17,$CV$4,"")</f>
        <v/>
      </c>
      <c r="EG4" s="225" t="str">
        <f>IF($DN$4=$DN$18,$CV$4,"")</f>
        <v/>
      </c>
      <c r="EH4" s="215">
        <f>$R$3</f>
        <v>3</v>
      </c>
      <c r="EI4" s="205" t="str">
        <f>IF($DR$4="","",$FT$4)</f>
        <v/>
      </c>
      <c r="EJ4" s="208"/>
      <c r="EK4" s="4" t="str">
        <f>IF($DT$4="","",$FV$4)</f>
        <v/>
      </c>
      <c r="EL4" s="4" t="str">
        <f>IF($DU$4="","",$FW$4)</f>
        <v/>
      </c>
      <c r="EM4" s="4" t="str">
        <f>IF($DV$4="","",$FX$4)</f>
        <v/>
      </c>
      <c r="EN4" s="4" t="str">
        <f>IF($DW$4="","",$FY$4)</f>
        <v/>
      </c>
      <c r="EO4" s="4" t="str">
        <f>IF($DX$4="","",$FZ$4)</f>
        <v/>
      </c>
      <c r="EP4" s="4" t="str">
        <f>IF($DY$4="","",$GA$4)</f>
        <v/>
      </c>
      <c r="EQ4" s="4" t="str">
        <f>IF($DZ$4="","",$GB$4)</f>
        <v/>
      </c>
      <c r="ER4" s="4" t="str">
        <f>IF($EA$4="","",$GC$4)</f>
        <v/>
      </c>
      <c r="ES4" s="4" t="str">
        <f>IF($EB$4="","",$GD$4)</f>
        <v/>
      </c>
      <c r="ET4" s="4" t="str">
        <f>IF($EC$4="","",$GE$4)</f>
        <v/>
      </c>
      <c r="EU4" s="4" t="str">
        <f>IF($ED$4="","",$GF$4)</f>
        <v/>
      </c>
      <c r="EV4" s="4" t="str">
        <f>IF($EE$4="","",$GG$4)</f>
        <v/>
      </c>
      <c r="EW4" s="4" t="str">
        <f>IF($EF$4="","",$GH$4)</f>
        <v/>
      </c>
      <c r="EX4" s="225" t="str">
        <f>IF($EG$4="","",$GI$4)</f>
        <v/>
      </c>
      <c r="EY4" s="230">
        <f>COUNTIF($EI$4:$EX$4,$EH$4)</f>
        <v>0</v>
      </c>
      <c r="FA4" s="130">
        <f t="shared" si="24"/>
        <v>3</v>
      </c>
      <c r="FB4" s="13" t="str">
        <f t="shared" si="25"/>
        <v>Dimitry Khomitsevich</v>
      </c>
      <c r="FC4" s="129">
        <f t="shared" ref="FC4:FC20" si="39">SUMIF(AG$32:AG$39,CV4,AQ$32:AQ$39)</f>
        <v>3</v>
      </c>
      <c r="FD4" s="129">
        <f t="shared" si="26"/>
        <v>1</v>
      </c>
      <c r="FE4" s="504">
        <v>0</v>
      </c>
      <c r="FF4" s="129">
        <f t="shared" ref="FF4:FF20" si="40">IF(FB4=AH$40,1,IF(FB4=AH$41,1,IF(FB4=AH$42,1,IF(FB4=AH$43,1,0))))</f>
        <v>1</v>
      </c>
      <c r="FG4" s="483">
        <f t="shared" si="27"/>
        <v>18</v>
      </c>
      <c r="FH4" s="483">
        <f t="shared" ref="FH4:FH20" si="41">SUM(FG4+FE4)</f>
        <v>18</v>
      </c>
      <c r="FI4" s="176">
        <f t="shared" ref="FI4:FI20" si="42">IF(AND(FD4=0,FF4=0),FG4,IF(FG4,IF(FD4=3,30,IF(FD4=2,29,IF(FD4=1,28,IF(AND(AND(FF4=1,FE4=0,FD4=0)),SUM(27+(FG4/1000))))))))</f>
        <v>28</v>
      </c>
      <c r="FJ4" s="484">
        <f t="shared" si="28"/>
        <v>28</v>
      </c>
      <c r="FK4" s="16">
        <f t="shared" si="29"/>
        <v>3</v>
      </c>
      <c r="FL4" s="710">
        <v>2</v>
      </c>
      <c r="FM4" s="710">
        <f t="shared" ref="FM4:FM20" si="43">SUM(DC4+FC4+FD4)</f>
        <v>18</v>
      </c>
      <c r="FN4" s="512"/>
      <c r="FO4" s="624" t="str">
        <f t="shared" ref="FO4:FO20" si="44">VLOOKUP($FL4,EZ$27:FB$44,3,FALSE)</f>
        <v>Daniil Ivanov</v>
      </c>
      <c r="FP4" s="679">
        <f>VLOOKUP($FO4,$FB$66:$FC$83,2,FALSE)</f>
        <v>17</v>
      </c>
      <c r="FQ4" s="13">
        <f t="shared" si="30"/>
        <v>1</v>
      </c>
      <c r="FS4" s="215">
        <f>$R$3</f>
        <v>3</v>
      </c>
      <c r="FT4" s="205">
        <f>IF($M$12&gt;$M$13,$FS$3,IF($M$13&gt;$M$12,$FS$4))</f>
        <v>3</v>
      </c>
      <c r="FU4" s="208"/>
      <c r="FV4" s="4">
        <f>IF($M$13&gt;$M$14,$FS$4,IF($M$14&gt;$M$13,$FS$5,""))</f>
        <v>3</v>
      </c>
      <c r="FW4" s="4">
        <f>IF($M$13&gt;$M$15,$FS$4,IF($M$15&gt;$M$13,$FS$6,""))</f>
        <v>3</v>
      </c>
      <c r="FX4" s="4">
        <f>IF($AB$19&gt;$AB$17,$FS$4,IF($AB$17&gt;$AB$19,$FS$7,""))</f>
        <v>3</v>
      </c>
      <c r="FY4" s="4">
        <f>IF($M$34&gt;$M$35,$FS$4,IF($M$35&gt;$M$34,$FS$8,""))</f>
        <v>3</v>
      </c>
      <c r="FZ4" s="4">
        <f>IF($AQ$17&gt;$AQ$18,$FS$4,IF($AQ$18&gt;$AQ$17,$FS$9,""))</f>
        <v>3</v>
      </c>
      <c r="GA4" s="4">
        <f>IF($AB$32&gt;$AB$34,$FS$4,IF($AB$34&gt;$AB$32,$FS$10,""))</f>
        <v>3</v>
      </c>
      <c r="GB4" s="4">
        <f>IF($AQ$17&gt;$AQ$16,$FS$4,IF($AQ$16&gt;$AQ$17,$FS$11,""))</f>
        <v>3</v>
      </c>
      <c r="GC4" s="4">
        <f>IF($M$34&gt;$M$33,$FS$4,IF($M$33&gt;$M$34,$FS$12,""))</f>
        <v>3</v>
      </c>
      <c r="GD4" s="4">
        <f>IF($AB$32&gt;$AB$35,$FS$4,IF($AB$35&gt;$AB$32,$FS$13,""))</f>
        <v>3</v>
      </c>
      <c r="GE4" s="4">
        <f>IF($AB$19&gt;$AB$16,$FS$4,IF($AB$16&gt;$AB$19,$FS$14,""))</f>
        <v>3</v>
      </c>
      <c r="GF4" s="4">
        <f>IF($AB$32&gt;$AB$33,$FS$4,IF($AB$33&gt;$AB$32,$FS$15,""))</f>
        <v>3</v>
      </c>
      <c r="GG4" s="4">
        <f>IF($M$34&gt;$M$32,$FS$4,IF($M$32&gt;$M$34,$FS$16,""))</f>
        <v>3</v>
      </c>
      <c r="GH4" s="4">
        <f>IF($AB$19&gt;$AB$18,$FS$4,IF($AB$18&gt;$AB$19,$FS$17,""))</f>
        <v>2</v>
      </c>
      <c r="GI4" s="211">
        <f>IF($AQ$17&gt;$AQ$19,$FS$4,IF($AQ$19&gt;$AQ$17,$FS$18,""))</f>
        <v>3</v>
      </c>
      <c r="GK4" s="8">
        <v>2</v>
      </c>
      <c r="GL4" s="205"/>
      <c r="GM4" s="4"/>
      <c r="GN4" s="4"/>
      <c r="GO4" s="4"/>
      <c r="GP4" s="225"/>
      <c r="GQ4" s="230">
        <f>COUNTIF(CX4:DB4,"Fx")+COUNTIF(CX4:DB4,"M")+COUNTIF(CX4:DB4,"T")+COUNTIF(CX4:DB4,"X")+COUNTIF(CX4:DB4,"N")+COUNTIF(CX4:DB4,"NS")+COUNTIF(CX4:DB4,"F")+COUNTIF(CX4:DB4,"R")</f>
        <v>0</v>
      </c>
      <c r="GR4" s="601">
        <f t="shared" ref="GR4:GR18" si="45">GQ4/1000000</f>
        <v>0</v>
      </c>
      <c r="GX4" s="1179"/>
      <c r="GY4" s="1179"/>
      <c r="GZ4" s="1179"/>
      <c r="HA4" s="1179" t="s">
        <v>5</v>
      </c>
      <c r="HH4" s="1179"/>
    </row>
    <row r="5" spans="1:268" ht="12.75" customHeight="1" thickBot="1">
      <c r="I5" s="290"/>
      <c r="J5" s="290"/>
      <c r="K5" s="290"/>
      <c r="L5" s="290"/>
      <c r="M5" s="290"/>
      <c r="N5" s="290"/>
      <c r="P5" s="898" t="s">
        <v>12</v>
      </c>
      <c r="Q5" s="341">
        <v>4</v>
      </c>
      <c r="R5" s="104">
        <f>IF(S5="","",VLOOKUP(S5,Draw!$H$3:$I$20,2,FALSE))</f>
        <v>6</v>
      </c>
      <c r="S5" s="750" t="str">
        <f>Draw!H6</f>
        <v>Jan Klatovsky</v>
      </c>
      <c r="T5" s="1001"/>
      <c r="U5" s="741"/>
      <c r="V5" s="742"/>
      <c r="W5" s="3">
        <f>IF(H15&lt;&gt;"",F15,IF($L15&lt;&gt;"",$L15,IF($M15="","",$M15)))</f>
        <v>1</v>
      </c>
      <c r="X5" s="4">
        <f>IF(H40&lt;&gt;"",F40,IF($L40&lt;&gt;"",$L40,IF($M40="","",$M40)))</f>
        <v>0</v>
      </c>
      <c r="Y5" s="4">
        <f>IF(W25&lt;&gt;"",U25,IF($AA25&lt;&gt;"",$AA25,IF($AB25="","",$AB25)))</f>
        <v>0</v>
      </c>
      <c r="Z5" s="4">
        <f>IF(W42&lt;&gt;"",U42,IF($AA42&lt;&gt;"",$AA42,IF($AB42="","",$AB42)))</f>
        <v>1</v>
      </c>
      <c r="AA5" s="4">
        <f>IF(AL27&lt;&gt;"",AJ27,IF($AP27&lt;&gt;"",$AP27,IF($AQ27="","",$AQ27)))</f>
        <v>2</v>
      </c>
      <c r="AB5" s="7">
        <f t="shared" si="2"/>
        <v>4</v>
      </c>
      <c r="AC5" s="57">
        <f t="shared" si="0"/>
        <v>12</v>
      </c>
      <c r="AF5" s="341">
        <v>12</v>
      </c>
      <c r="AG5" s="104">
        <f>IF(AH5="","",VLOOKUP(AH5,Draw!$H$3:$I$20,2,FALSE))</f>
        <v>11</v>
      </c>
      <c r="AH5" s="750" t="str">
        <f>Draw!H14</f>
        <v>Vitaly Khomitsevich</v>
      </c>
      <c r="AI5" s="1005"/>
      <c r="AJ5" s="540"/>
      <c r="AK5" s="541"/>
      <c r="AL5" s="3">
        <f>IF(H23&lt;&gt;"",F23,IF($L23&lt;&gt;"",$L23,IF($M23="","",$M23)))</f>
        <v>2</v>
      </c>
      <c r="AM5" s="4">
        <f>IF(H42&lt;&gt;"",F42,IF($L42&lt;&gt;"",$L42,IF($M42="","",$M42)))</f>
        <v>3</v>
      </c>
      <c r="AN5" s="4">
        <f>IF(W16&lt;&gt;"",U16,IF($AA16&lt;&gt;"",$AA16,IF($AB16="","",$AB16)))</f>
        <v>1</v>
      </c>
      <c r="AO5" s="4">
        <f>IF(W29&lt;&gt;"",U29,IF($AA29&lt;&gt;"",$AA29,IF($AB29="","",$AB29)))</f>
        <v>2</v>
      </c>
      <c r="AP5" s="4">
        <f>IF(AL21&lt;&gt;"",AJ21,IF($AP21&lt;&gt;"",$AP21,IF($AQ21="","",$AQ21)))</f>
        <v>3</v>
      </c>
      <c r="AQ5" s="7">
        <f t="shared" si="1"/>
        <v>11</v>
      </c>
      <c r="AR5" s="57">
        <f t="shared" si="3"/>
        <v>5</v>
      </c>
      <c r="AT5" s="1079" t="s">
        <v>222</v>
      </c>
      <c r="AU5" s="1080"/>
      <c r="AV5" s="722">
        <f>IF(BY7=0,0,SUM(BY7/BZ7))</f>
        <v>0.13043478260869565</v>
      </c>
      <c r="AW5" s="1085">
        <f>BY9</f>
        <v>28</v>
      </c>
      <c r="AX5" s="1086"/>
      <c r="AY5" s="1085">
        <f>COUNTIF($BO$12:$BO$43,3)+COUNTIF($BT$12:$BT$43,3)+COUNTIF($BY$12:$BY$43,3)</f>
        <v>3</v>
      </c>
      <c r="AZ5" s="1086"/>
      <c r="BA5" s="1085">
        <f>COUNTIF($BO$12:$BO$43,2)+COUNTIF($BT$12:$BT$43,2)+COUNTIF($BY$12:$BY$43,2)</f>
        <v>6</v>
      </c>
      <c r="BB5" s="1086"/>
      <c r="BC5" s="1085">
        <f>COUNTIF($BO$12:$BO$43,1)+COUNTIF($BT$12:$BT$43,1)+COUNTIF($BY$12:$BY$43,1)</f>
        <v>7</v>
      </c>
      <c r="BD5" s="1086"/>
      <c r="BE5"/>
      <c r="BK5" s="1120"/>
      <c r="CC5" s="49">
        <f t="shared" si="4"/>
        <v>3</v>
      </c>
      <c r="CD5" s="50" t="str">
        <f t="shared" si="31"/>
        <v/>
      </c>
      <c r="CE5" s="31">
        <v>3</v>
      </c>
      <c r="CF5" s="120">
        <f t="shared" si="5"/>
        <v>9</v>
      </c>
      <c r="CG5" s="125"/>
      <c r="CH5" s="74" t="str">
        <f t="shared" si="32"/>
        <v>Daniil Ivanov</v>
      </c>
      <c r="CI5" s="277">
        <f t="shared" si="6"/>
        <v>13.032</v>
      </c>
      <c r="CJ5" s="83">
        <f t="shared" si="7"/>
        <v>3</v>
      </c>
      <c r="CK5" s="69">
        <f t="shared" si="8"/>
        <v>3</v>
      </c>
      <c r="CL5" s="69">
        <f t="shared" si="9"/>
        <v>3</v>
      </c>
      <c r="CM5" s="69">
        <f t="shared" si="10"/>
        <v>2</v>
      </c>
      <c r="CN5" s="84">
        <f t="shared" si="11"/>
        <v>2</v>
      </c>
      <c r="CO5" s="78">
        <f t="shared" si="33"/>
        <v>13</v>
      </c>
      <c r="CP5" s="52"/>
      <c r="CQ5" s="249"/>
      <c r="CR5" s="27">
        <f t="shared" si="12"/>
        <v>9</v>
      </c>
      <c r="CS5" s="258">
        <f>RANK(DP5,$DP$3:$DP$20)+COUNTIF(DP$3:DP5,DP5)-1</f>
        <v>6</v>
      </c>
      <c r="CT5" s="32">
        <f t="shared" si="13"/>
        <v>3</v>
      </c>
      <c r="CU5" s="423">
        <f>VLOOKUP(CW5,Draw!$B$3:$C$42,2,FALSE)</f>
        <v>10</v>
      </c>
      <c r="CV5" s="185">
        <f>VLOOKUP(CW5,Draw!$B$3:$C$42,2,FALSE)</f>
        <v>10</v>
      </c>
      <c r="CW5" s="33" t="str">
        <f t="shared" si="14"/>
        <v>Franz Zorn</v>
      </c>
      <c r="CX5" s="4">
        <f t="shared" si="15"/>
        <v>2</v>
      </c>
      <c r="CY5" s="4">
        <f t="shared" si="15"/>
        <v>1</v>
      </c>
      <c r="CZ5" s="4">
        <f t="shared" si="15"/>
        <v>2</v>
      </c>
      <c r="DA5" s="4">
        <f t="shared" si="15"/>
        <v>3</v>
      </c>
      <c r="DB5" s="34">
        <f t="shared" si="15"/>
        <v>2</v>
      </c>
      <c r="DC5" s="250">
        <f t="shared" si="16"/>
        <v>10</v>
      </c>
      <c r="DD5" s="243">
        <f t="shared" si="17"/>
        <v>1</v>
      </c>
      <c r="DE5" s="236">
        <f t="shared" si="34"/>
        <v>0.01</v>
      </c>
      <c r="DF5" s="232">
        <f t="shared" si="18"/>
        <v>3</v>
      </c>
      <c r="DG5" s="234">
        <f t="shared" si="35"/>
        <v>3.0000000000000001E-3</v>
      </c>
      <c r="DH5" s="232">
        <f t="shared" si="19"/>
        <v>1</v>
      </c>
      <c r="DI5" s="41">
        <f t="shared" si="36"/>
        <v>1E-4</v>
      </c>
      <c r="DJ5" s="271">
        <f t="shared" si="20"/>
        <v>0</v>
      </c>
      <c r="DK5" s="602">
        <f t="shared" si="37"/>
        <v>0</v>
      </c>
      <c r="DL5" s="281">
        <f t="shared" si="21"/>
        <v>0</v>
      </c>
      <c r="DM5" s="644">
        <f>SUM((60-$CU5)/100000000)</f>
        <v>4.9999999999999998E-7</v>
      </c>
      <c r="DN5" s="285">
        <f t="shared" si="22"/>
        <v>10.0131</v>
      </c>
      <c r="DO5" s="285">
        <f t="shared" si="23"/>
        <v>10.0131</v>
      </c>
      <c r="DP5" s="648">
        <f t="shared" si="38"/>
        <v>10.0131005</v>
      </c>
      <c r="DQ5" s="595"/>
      <c r="DR5" s="205" t="str">
        <f>IF($DN$5=$DN$3,$CV$5,"")</f>
        <v/>
      </c>
      <c r="DS5" s="4" t="str">
        <f>IF($DN$5=$DN$4,$CV$5,"")</f>
        <v/>
      </c>
      <c r="DT5" s="208"/>
      <c r="DU5" s="4" t="str">
        <f>IF($DN$5=$DN$6,$CV$5,"")</f>
        <v/>
      </c>
      <c r="DV5" s="4" t="str">
        <f>IF($DN$5=$DN$7,$CV$5,"")</f>
        <v/>
      </c>
      <c r="DW5" s="4" t="str">
        <f>IF($DN$5=$DN$8,$CV$5,"")</f>
        <v/>
      </c>
      <c r="DX5" s="4" t="str">
        <f>IF($DN$5=$DN$9,$CV$5,"")</f>
        <v/>
      </c>
      <c r="DY5" s="4" t="str">
        <f>IF($DN$5=$DN$10,$CV$5,"")</f>
        <v/>
      </c>
      <c r="DZ5" s="4" t="str">
        <f>IF($DN$5=$DN$11,$CV$5,"")</f>
        <v/>
      </c>
      <c r="EA5" s="4" t="str">
        <f>IF($DN$5=$DN$12,$CV$5,"")</f>
        <v/>
      </c>
      <c r="EB5" s="4" t="str">
        <f>IF($DN$5=$DN$13,$CV$5,"")</f>
        <v/>
      </c>
      <c r="EC5" s="4" t="str">
        <f>IF($DN$5=$DN$14,$CV$5,"")</f>
        <v/>
      </c>
      <c r="ED5" s="4" t="str">
        <f>IF($DN$5=$DN$15,$CV$5,"")</f>
        <v/>
      </c>
      <c r="EE5" s="4" t="str">
        <f>IF($DN$5=$DN$16,$CV$5,"")</f>
        <v/>
      </c>
      <c r="EF5" s="4" t="str">
        <f>IF($DN$5=$DN$17,$CV$5,"")</f>
        <v/>
      </c>
      <c r="EG5" s="225" t="str">
        <f>IF($DN$5=$DN$18,$CV$5,"")</f>
        <v/>
      </c>
      <c r="EH5" s="215">
        <f>$R$4</f>
        <v>10</v>
      </c>
      <c r="EI5" s="205" t="str">
        <f>IF($DR$5="","",$FT$5)</f>
        <v/>
      </c>
      <c r="EJ5" s="4" t="str">
        <f>IF($DS$5="","",$FU$5)</f>
        <v/>
      </c>
      <c r="EK5" s="208"/>
      <c r="EL5" s="4" t="str">
        <f>IF($DU$5="","",$FW$5)</f>
        <v/>
      </c>
      <c r="EM5" s="4" t="str">
        <f>IF($DV$5="","",$FX$5)</f>
        <v/>
      </c>
      <c r="EN5" s="4" t="str">
        <f>IF($DW$5="","",$FY$5)</f>
        <v/>
      </c>
      <c r="EO5" s="4" t="str">
        <f>IF($DX$5="","",$FZ$5)</f>
        <v/>
      </c>
      <c r="EP5" s="4" t="str">
        <f>IF($DY$5="","",$GA$5)</f>
        <v/>
      </c>
      <c r="EQ5" s="4" t="str">
        <f>IF($DZ$5="","",$GB$5)</f>
        <v/>
      </c>
      <c r="ER5" s="4" t="str">
        <f>IF($EA$5="","",$GC$5)</f>
        <v/>
      </c>
      <c r="ES5" s="4" t="str">
        <f>IF($EB$5="","",$GD$5)</f>
        <v/>
      </c>
      <c r="ET5" s="4" t="str">
        <f>IF($EC$5="","",$GE$5)</f>
        <v/>
      </c>
      <c r="EU5" s="4" t="str">
        <f>IF($ED$5="","",$GF$5)</f>
        <v/>
      </c>
      <c r="EV5" s="4" t="str">
        <f>IF($EE$5="","",$GG$5)</f>
        <v/>
      </c>
      <c r="EW5" s="4" t="str">
        <f>IF($EF$5="","",$GH$5)</f>
        <v/>
      </c>
      <c r="EX5" s="225" t="str">
        <f>IF($EG$5="","",$GI$5)</f>
        <v/>
      </c>
      <c r="EY5" s="230">
        <f>COUNTIF($EI$5:$EX$5,$EH$5)</f>
        <v>0</v>
      </c>
      <c r="FA5" s="130">
        <f t="shared" si="24"/>
        <v>10</v>
      </c>
      <c r="FB5" s="13" t="str">
        <f t="shared" si="25"/>
        <v>Franz Zorn</v>
      </c>
      <c r="FC5" s="129">
        <f t="shared" si="39"/>
        <v>1</v>
      </c>
      <c r="FD5" s="129">
        <f t="shared" si="26"/>
        <v>0</v>
      </c>
      <c r="FE5" s="504">
        <v>0</v>
      </c>
      <c r="FF5" s="129">
        <f t="shared" si="40"/>
        <v>0</v>
      </c>
      <c r="FG5" s="483">
        <f t="shared" si="27"/>
        <v>11.0131005</v>
      </c>
      <c r="FH5" s="483">
        <f t="shared" si="41"/>
        <v>11.0131005</v>
      </c>
      <c r="FI5" s="176">
        <f t="shared" si="42"/>
        <v>11.0131005</v>
      </c>
      <c r="FJ5" s="484">
        <f t="shared" si="28"/>
        <v>11.0131005</v>
      </c>
      <c r="FK5" s="16">
        <f t="shared" si="29"/>
        <v>6</v>
      </c>
      <c r="FL5" s="710">
        <v>3</v>
      </c>
      <c r="FM5" s="710">
        <f t="shared" si="43"/>
        <v>11</v>
      </c>
      <c r="FN5" s="512"/>
      <c r="FO5" s="624" t="str">
        <f t="shared" si="44"/>
        <v>Dimitry Khomitsevich</v>
      </c>
      <c r="FP5" s="679">
        <f>VLOOKUP($FO5,$FB$66:$FC$83,2,FALSE)</f>
        <v>18</v>
      </c>
      <c r="FQ5" s="13">
        <f t="shared" si="30"/>
        <v>1</v>
      </c>
      <c r="FS5" s="215">
        <f>$R$4</f>
        <v>10</v>
      </c>
      <c r="FT5" s="205">
        <f>IF($M$12&gt;$M$14,$FS$3,IF($M$14&gt;$M$12,$FS$5,""))</f>
        <v>10</v>
      </c>
      <c r="FU5" s="4">
        <f>IF($M$13&gt;$M$14,$FS$4,IF($M$14&gt;$M$13,$FS$5,""))</f>
        <v>3</v>
      </c>
      <c r="FV5" s="208"/>
      <c r="FW5" s="4">
        <f>IF($M$14&gt;$M$15,$FS$5,IF($M$15&gt;$M$14,$FS$6))</f>
        <v>10</v>
      </c>
      <c r="FX5" s="4">
        <f>IF($AB$37&gt;$AB$39,$FS$5,IF($AB$39&gt;$AB$37,$FS$7,""))</f>
        <v>10</v>
      </c>
      <c r="FY5" s="4">
        <f>IF($AQ$20&gt;$AQ$23,$FS$5,IF($AQ$23&gt;$AQ$20,$FS$8,""))</f>
        <v>10</v>
      </c>
      <c r="FZ5" s="4">
        <f>IF($M$39&gt;$M$38,$FS$5,IF($M$38&gt;$M$39,$FS$9,""))</f>
        <v>4</v>
      </c>
      <c r="GA5" s="4">
        <f>IF($AB$22&gt;$AB$20,$FS$5,IF($AB$20&gt;$AB$22,$FS$10,""))</f>
        <v>10</v>
      </c>
      <c r="GB5" s="4">
        <f>IF($AB$22&gt;$AB$21,$FS$5,IF($AB$21&gt;$AB$22,$FS$11,""))</f>
        <v>1</v>
      </c>
      <c r="GC5" s="4">
        <f>IF($AB$37&gt;$AB$38,$FS$5,IF($AB$38&gt;$AB$37,$FS$12,""))</f>
        <v>10</v>
      </c>
      <c r="GD5" s="4">
        <f>IF($M$39&gt;$M$36,$FS$5,IF($M$36&gt;$M$39,$FS$13,""))</f>
        <v>10</v>
      </c>
      <c r="GE5" s="4">
        <f>IF($AQ$20&gt;$AQ$21,$FS$5,IF($AQ$21&gt;$AQ$20,$FS$14,""))</f>
        <v>11</v>
      </c>
      <c r="GF5" s="4">
        <f>IF($AQ$20&gt;$AQ$22,$FS$5,IF($AQ$22&gt;$AQ$20,$FS$15,""))</f>
        <v>10</v>
      </c>
      <c r="GG5" s="4">
        <f>IF($AB$22&gt;$AB$23,$FS$5,IF($AB$23&gt;$AB$22,$FS$16,""))</f>
        <v>10</v>
      </c>
      <c r="GH5" s="4">
        <f>IF($M$39&gt;$M$37,$FS$5,IF($M$37&gt;$M$39,$FS$17,""))</f>
        <v>2</v>
      </c>
      <c r="GI5" s="211">
        <f>IF($AB$37&gt;$AB$36,$FS$5,IF($AB$36&gt;$AB$37,$FS$18,""))</f>
        <v>10</v>
      </c>
      <c r="GK5" s="8">
        <v>3</v>
      </c>
      <c r="GL5" s="205"/>
      <c r="GM5" s="4"/>
      <c r="GN5" s="4"/>
      <c r="GO5" s="4"/>
      <c r="GP5" s="225"/>
      <c r="GQ5" s="230">
        <f t="shared" ref="GQ5:GQ18" si="46">COUNTIF(CX5:DB5,"Fx")+COUNTIF(CX5:DB5,"M")+COUNTIF(CX5:DB5,"T")+COUNTIF(CX5:DB5,"X")+COUNTIF(CX5:DB5,"N")+COUNTIF(CX5:DB5,"NS")+COUNTIF(CX5:DB5,"F")+COUNTIF(CX5:DB5,"R")</f>
        <v>0</v>
      </c>
      <c r="GR5" s="601">
        <f t="shared" si="45"/>
        <v>0</v>
      </c>
      <c r="GX5" s="1179"/>
      <c r="GY5" s="1179"/>
      <c r="GZ5" s="1179"/>
      <c r="HA5" s="1179"/>
      <c r="HH5" s="1179"/>
    </row>
    <row r="6" spans="1:268" ht="12.75" customHeight="1" thickBot="1">
      <c r="I6" s="290"/>
      <c r="J6" s="290"/>
      <c r="K6" s="290"/>
      <c r="L6" s="290"/>
      <c r="M6" s="290"/>
      <c r="N6" s="290"/>
      <c r="P6" s="899" t="s">
        <v>46</v>
      </c>
      <c r="Q6" s="341">
        <v>5</v>
      </c>
      <c r="R6" s="104">
        <f>IF(S6="","",VLOOKUP(S6,Draw!$H$3:$I$20,2,FALSE))</f>
        <v>14</v>
      </c>
      <c r="S6" s="748" t="str">
        <f>Draw!H7</f>
        <v>Antonin Klatovsky</v>
      </c>
      <c r="T6" s="999"/>
      <c r="U6" s="741"/>
      <c r="V6" s="742"/>
      <c r="W6" s="3">
        <f>IF(H16&lt;&gt;"",F16,IF($L16&lt;&gt;"",$L16,IF($M16="","",$M16)))</f>
        <v>1</v>
      </c>
      <c r="X6" s="4">
        <f>IF(H30&lt;&gt;"",F30,IF($L30&lt;&gt;"",$L30,IF($M30="","",$M30)))</f>
        <v>1</v>
      </c>
      <c r="Y6" s="4">
        <f>IF(W17&lt;&gt;"",U17,IF($AA17&lt;&gt;"",$AA17,IF($AB17="","",$AB17)))</f>
        <v>0</v>
      </c>
      <c r="Z6" s="4">
        <f>IF(W39&lt;&gt;"",U39,IF($AA39&lt;&gt;"",$AA39,IF($AB39="","",$AB39)))</f>
        <v>0</v>
      </c>
      <c r="AA6" s="4">
        <f>IF(AL24&lt;&gt;"",AJ24,IF($AP24&lt;&gt;"",$AP24,IF($AQ24="","",$AQ24)))</f>
        <v>3</v>
      </c>
      <c r="AB6" s="7">
        <f t="shared" si="2"/>
        <v>5</v>
      </c>
      <c r="AC6" s="57">
        <f t="shared" si="0"/>
        <v>10</v>
      </c>
      <c r="AF6" s="341">
        <v>13</v>
      </c>
      <c r="AG6" s="104">
        <f>IF(AH6="","",VLOOKUP(AH6,Draw!$H$3:$I$20,2,FALSE))</f>
        <v>19</v>
      </c>
      <c r="AH6" s="748" t="str">
        <f>Draw!H15</f>
        <v>Daniel Henderson</v>
      </c>
      <c r="AI6" s="1006"/>
      <c r="AJ6" s="540"/>
      <c r="AK6" s="541"/>
      <c r="AL6" s="3">
        <f>IF(H27&lt;&gt;"",F27,IF($L27&lt;&gt;"",$L27,IF($M27="","",$M27)))</f>
        <v>1</v>
      </c>
      <c r="AM6" s="4">
        <f>IF(H28&lt;&gt;"",F28,IF($L28&lt;&gt;"",$L28,IF($M28="","",$M28)))</f>
        <v>2</v>
      </c>
      <c r="AN6" s="4">
        <f>IF(W24&lt;&gt;"",U24,IF($AA24&lt;&gt;"",$AA24,IF($AB24="","",$AB24)))</f>
        <v>1</v>
      </c>
      <c r="AO6" s="4">
        <f>IF(W33&lt;&gt;"",U33,IF($AA33&lt;&gt;"",$AA33,IF($AB33="","",$AB33)))</f>
        <v>0</v>
      </c>
      <c r="AP6" s="4">
        <f>IF(AL22&lt;&gt;"",AJ22,IF($AP22&lt;&gt;"",$AP22,IF($AQ22="","",$AQ22)))</f>
        <v>1</v>
      </c>
      <c r="AQ6" s="7">
        <f t="shared" si="1"/>
        <v>5</v>
      </c>
      <c r="AR6" s="57">
        <f t="shared" si="3"/>
        <v>11</v>
      </c>
      <c r="AT6"/>
      <c r="AU6"/>
      <c r="AV6"/>
      <c r="AW6"/>
      <c r="AX6"/>
      <c r="AY6"/>
      <c r="AZ6"/>
      <c r="BA6"/>
      <c r="BB6"/>
      <c r="BC6"/>
      <c r="BD6"/>
      <c r="BE6"/>
      <c r="BK6" s="1120"/>
      <c r="CC6" s="47">
        <f t="shared" si="4"/>
        <v>4</v>
      </c>
      <c r="CD6" s="48" t="str">
        <f t="shared" si="31"/>
        <v/>
      </c>
      <c r="CE6" s="22">
        <v>4</v>
      </c>
      <c r="CF6" s="121">
        <f t="shared" si="5"/>
        <v>7</v>
      </c>
      <c r="CG6" s="126"/>
      <c r="CH6" s="75" t="str">
        <f t="shared" si="32"/>
        <v>Igor Kononov</v>
      </c>
      <c r="CI6" s="278">
        <f t="shared" si="6"/>
        <v>12.031099999999999</v>
      </c>
      <c r="CJ6" s="85">
        <f t="shared" si="7"/>
        <v>3</v>
      </c>
      <c r="CK6" s="70">
        <f t="shared" si="8"/>
        <v>2</v>
      </c>
      <c r="CL6" s="70">
        <f t="shared" si="9"/>
        <v>3</v>
      </c>
      <c r="CM6" s="70">
        <f t="shared" si="10"/>
        <v>3</v>
      </c>
      <c r="CN6" s="86">
        <f t="shared" si="11"/>
        <v>1</v>
      </c>
      <c r="CO6" s="79">
        <f t="shared" si="33"/>
        <v>12</v>
      </c>
      <c r="CP6" s="54"/>
      <c r="CQ6" s="249"/>
      <c r="CR6" s="27">
        <f t="shared" si="12"/>
        <v>7</v>
      </c>
      <c r="CS6" s="258">
        <f>RANK(DP6,$DP$3:$DP$20)+COUNTIF(DP$3:DP6,DP6)-1</f>
        <v>12</v>
      </c>
      <c r="CT6" s="32">
        <f t="shared" si="13"/>
        <v>4</v>
      </c>
      <c r="CU6" s="423">
        <f>VLOOKUP(CW6,Draw!$B$3:$C$42,2,FALSE)</f>
        <v>6</v>
      </c>
      <c r="CV6" s="185">
        <f>VLOOKUP(CW6,Draw!$B$3:$C$42,2,FALSE)</f>
        <v>6</v>
      </c>
      <c r="CW6" s="33" t="str">
        <f t="shared" si="14"/>
        <v>Jan Klatovsky</v>
      </c>
      <c r="CX6" s="4">
        <f t="shared" si="15"/>
        <v>1</v>
      </c>
      <c r="CY6" s="4">
        <f t="shared" si="15"/>
        <v>0</v>
      </c>
      <c r="CZ6" s="4">
        <f t="shared" si="15"/>
        <v>0</v>
      </c>
      <c r="DA6" s="4">
        <f t="shared" si="15"/>
        <v>1</v>
      </c>
      <c r="DB6" s="34">
        <f t="shared" si="15"/>
        <v>2</v>
      </c>
      <c r="DC6" s="250">
        <f t="shared" si="16"/>
        <v>4</v>
      </c>
      <c r="DD6" s="243">
        <f t="shared" si="17"/>
        <v>0</v>
      </c>
      <c r="DE6" s="236">
        <f t="shared" si="34"/>
        <v>0</v>
      </c>
      <c r="DF6" s="232">
        <f t="shared" si="18"/>
        <v>1</v>
      </c>
      <c r="DG6" s="234">
        <f t="shared" si="35"/>
        <v>1E-3</v>
      </c>
      <c r="DH6" s="232">
        <f t="shared" si="19"/>
        <v>2</v>
      </c>
      <c r="DI6" s="41">
        <f t="shared" si="36"/>
        <v>2.0000000000000001E-4</v>
      </c>
      <c r="DJ6" s="271">
        <f t="shared" si="20"/>
        <v>2</v>
      </c>
      <c r="DK6" s="602">
        <f t="shared" si="37"/>
        <v>2.0000000000000002E-5</v>
      </c>
      <c r="DL6" s="281">
        <f t="shared" si="21"/>
        <v>9.9999999999999995E-7</v>
      </c>
      <c r="DM6" s="643">
        <f>SUM((60-$CU6)/100000000)</f>
        <v>5.4000000000000002E-7</v>
      </c>
      <c r="DN6" s="284">
        <f t="shared" si="22"/>
        <v>4.0012200000000009</v>
      </c>
      <c r="DO6" s="284">
        <f t="shared" si="23"/>
        <v>4.001221000000001</v>
      </c>
      <c r="DP6" s="647">
        <f t="shared" si="38"/>
        <v>4.0012215400000013</v>
      </c>
      <c r="DQ6" s="594"/>
      <c r="DR6" s="205" t="str">
        <f>IF($DN$6=$DN$3,$CV$6,"")</f>
        <v/>
      </c>
      <c r="DS6" s="4" t="str">
        <f>IF($DN$6=$DN$4,$CV$6,"")</f>
        <v/>
      </c>
      <c r="DT6" s="4" t="str">
        <f>IF($DN$6=$DN$5,$CV$6,"")</f>
        <v/>
      </c>
      <c r="DU6" s="208"/>
      <c r="DV6" s="4" t="str">
        <f>IF($DN$6=$DN$7,$CV$6,"")</f>
        <v/>
      </c>
      <c r="DW6" s="4" t="str">
        <f>IF($DN$6=$DN$8,$CV$6,"")</f>
        <v/>
      </c>
      <c r="DX6" s="4" t="str">
        <f>IF($DN$6=$DN$9,$CV$6,"")</f>
        <v/>
      </c>
      <c r="DY6" s="4" t="str">
        <f>IF($DN$6=$DN$10,$CV$6,"")</f>
        <v/>
      </c>
      <c r="DZ6" s="4" t="str">
        <f>IF($DN$6=$DN$11,$CV$6,"")</f>
        <v/>
      </c>
      <c r="EA6" s="4" t="str">
        <f>IF($DN$6=$DN$12,$CV$6,"")</f>
        <v/>
      </c>
      <c r="EB6" s="4">
        <f>IF($DN$6=$DN$13,$CV$6,"")</f>
        <v>6</v>
      </c>
      <c r="EC6" s="4" t="str">
        <f>IF($DN$6=$DN$14,$CV$6,"")</f>
        <v/>
      </c>
      <c r="ED6" s="4" t="str">
        <f>IF($DN$6=$DN$15,$CV$6,"")</f>
        <v/>
      </c>
      <c r="EE6" s="4" t="str">
        <f>IF($DN$6=$DN$16,$CV$6,"")</f>
        <v/>
      </c>
      <c r="EF6" s="4" t="str">
        <f>IF($DN$6=$DN$17,$CV$6,"")</f>
        <v/>
      </c>
      <c r="EG6" s="225" t="str">
        <f>IF($DN$6=$DN$18,$CV$6,"")</f>
        <v/>
      </c>
      <c r="EH6" s="215">
        <f>$R$5</f>
        <v>6</v>
      </c>
      <c r="EI6" s="205" t="str">
        <f>IF($DR$6="","",$FT$6)</f>
        <v/>
      </c>
      <c r="EJ6" s="4" t="str">
        <f>IF($DS$6="","",$FU$6)</f>
        <v/>
      </c>
      <c r="EK6" s="4" t="str">
        <f>IF($DT$6="","",$FV$6)</f>
        <v/>
      </c>
      <c r="EL6" s="208"/>
      <c r="EM6" s="4" t="str">
        <f>IF($DV$6="","",$FX$6)</f>
        <v/>
      </c>
      <c r="EN6" s="4" t="str">
        <f>IF($DW$6="","",$FY$6)</f>
        <v/>
      </c>
      <c r="EO6" s="4" t="str">
        <f>IF($DX$6="","",$FZ$6)</f>
        <v/>
      </c>
      <c r="EP6" s="4" t="str">
        <f>IF($DY$6="","",$GA$6)</f>
        <v/>
      </c>
      <c r="EQ6" s="4" t="str">
        <f>IF($DZ$6="","",$GB$6)</f>
        <v/>
      </c>
      <c r="ER6" s="4" t="str">
        <f>IF($EA$6="","",$GC$6)</f>
        <v/>
      </c>
      <c r="ES6" s="4">
        <f>IF($EB$6="","",$GD$6)</f>
        <v>6</v>
      </c>
      <c r="ET6" s="4" t="str">
        <f>IF($EC$6="","",$GE$6)</f>
        <v/>
      </c>
      <c r="EU6" s="4" t="str">
        <f>IF($ED$6="","",$GF$6)</f>
        <v/>
      </c>
      <c r="EV6" s="4" t="str">
        <f>IF($EE$6="","",$GG$6)</f>
        <v/>
      </c>
      <c r="EW6" s="4" t="str">
        <f>IF($EF$6="","",$GH$6)</f>
        <v/>
      </c>
      <c r="EX6" s="225" t="str">
        <f>IF($EG$6="","",$GI$6)</f>
        <v/>
      </c>
      <c r="EY6" s="230">
        <f>COUNTIF($EI$6:$EX$6,$EH$6)</f>
        <v>1</v>
      </c>
      <c r="FA6" s="130">
        <f t="shared" si="24"/>
        <v>6</v>
      </c>
      <c r="FB6" s="13" t="str">
        <f t="shared" si="25"/>
        <v>Jan Klatovsky</v>
      </c>
      <c r="FC6" s="129">
        <f t="shared" si="39"/>
        <v>0</v>
      </c>
      <c r="FD6" s="129">
        <f t="shared" si="26"/>
        <v>0</v>
      </c>
      <c r="FE6" s="504">
        <v>0</v>
      </c>
      <c r="FF6" s="129">
        <f t="shared" si="40"/>
        <v>0</v>
      </c>
      <c r="FG6" s="483">
        <f t="shared" si="27"/>
        <v>4.0012215400000013</v>
      </c>
      <c r="FH6" s="483">
        <f t="shared" si="41"/>
        <v>4.0012215400000013</v>
      </c>
      <c r="FI6" s="176">
        <f t="shared" si="42"/>
        <v>4.0012215400000013</v>
      </c>
      <c r="FJ6" s="484">
        <f t="shared" si="28"/>
        <v>4.0012215400000013</v>
      </c>
      <c r="FK6" s="16">
        <f t="shared" si="29"/>
        <v>12</v>
      </c>
      <c r="FL6" s="710">
        <v>4</v>
      </c>
      <c r="FM6" s="710">
        <f t="shared" si="43"/>
        <v>4</v>
      </c>
      <c r="FN6" s="512"/>
      <c r="FO6" s="624" t="str">
        <f t="shared" si="44"/>
        <v>Igor Kononov</v>
      </c>
      <c r="FP6" s="679">
        <f t="shared" ref="FP6:FP20" si="47">VLOOKUP($FO6,$FB$66:$FC$83,2,FALSE)</f>
        <v>14</v>
      </c>
      <c r="FQ6" s="13">
        <f t="shared" si="30"/>
        <v>1</v>
      </c>
      <c r="FS6" s="215">
        <f>$R$5</f>
        <v>6</v>
      </c>
      <c r="FT6" s="205">
        <f>IF($M$12&gt;$M$15,$FS$3,IF($M$15&gt;$M$12,$FS$6,""))</f>
        <v>6</v>
      </c>
      <c r="FU6" s="4">
        <f>IF($M$13&gt;$M$15,$FS$4,IF($M$15&gt;$M$13,$FS$6,""))</f>
        <v>3</v>
      </c>
      <c r="FV6" s="4">
        <f>IF($M$14&gt;$M$15,$FS$5,IF($M$15&gt;$M$14,$FS$6))</f>
        <v>10</v>
      </c>
      <c r="FW6" s="208"/>
      <c r="FX6" s="4">
        <f>IF($AQ$27&gt;$AQ$24,$FS$6,IF($AQ$24&gt;$AQ$27,$FS$7,""))</f>
        <v>14</v>
      </c>
      <c r="FY6" s="4">
        <f>IF($AB$42&gt;$AB$41,$FS$6,IF($AB$41&gt;$AB$42,$FS$8,""))</f>
        <v>6</v>
      </c>
      <c r="FZ6" s="4">
        <f>IF($AB$25&gt;$AB$27,$FS$6,IF($AB$27&gt;$AB$25,$FS$9,""))</f>
        <v>4</v>
      </c>
      <c r="GA6" s="4">
        <f>IF($M$40&gt;$M$41,$FS$6,IF($M$41&gt;$M$40,$FS$10,""))</f>
        <v>7</v>
      </c>
      <c r="GB6" s="4">
        <f>IF($AB$42&gt;$AB$40,$FS$6,IF($AB$40&gt;$AB$42,$FS$11,""))</f>
        <v>1</v>
      </c>
      <c r="GC6" s="4">
        <f>IF($AB$25&gt;$AB$26,$FS$6,IF($AB$26&gt;$AB$25,$FS$12,""))</f>
        <v>12</v>
      </c>
      <c r="GD6" s="4">
        <f>IF($AQ$27&gt;$AQ$26,$FS$6,IF($AQ$26&gt;$AQ$27,$FS$13,""))</f>
        <v>6</v>
      </c>
      <c r="GE6" s="4">
        <f>IF($M$40&gt;$M$42,$FS$6,IF($M$42&gt;$M$40,$FS$14,""))</f>
        <v>11</v>
      </c>
      <c r="GF6" s="4">
        <f>IF($AB$25&gt;$AB$24,$FS$6,IF($AB$24&gt;$AB$25,$FS$15,""))</f>
        <v>19</v>
      </c>
      <c r="GG6" s="4">
        <f>IF($AQ$27&gt;$AQ$25,$FS$6,IF($AQ$25&gt;$AQ$27,$FS$16,""))</f>
        <v>6</v>
      </c>
      <c r="GH6" s="4">
        <f>IF($AB$42&gt;$AB$43,$FS$6,IF($AB$43&gt;$AB$42,$FS$17,""))</f>
        <v>2</v>
      </c>
      <c r="GI6" s="211">
        <f>IF($M$40&gt;$M$43,$FS$6,IF($M$43&gt;$M$40,$FS$18,""))</f>
        <v>5</v>
      </c>
      <c r="GK6" s="8">
        <v>4</v>
      </c>
      <c r="GL6" s="205"/>
      <c r="GM6" s="4"/>
      <c r="GN6" s="4"/>
      <c r="GO6" s="4"/>
      <c r="GP6" s="225"/>
      <c r="GQ6" s="230">
        <f t="shared" si="46"/>
        <v>0</v>
      </c>
      <c r="GR6" s="601">
        <f t="shared" si="45"/>
        <v>0</v>
      </c>
      <c r="GX6" s="1179"/>
      <c r="GY6" s="1179"/>
      <c r="GZ6" s="1179"/>
      <c r="HA6" s="1179"/>
      <c r="HH6" s="1179"/>
    </row>
    <row r="7" spans="1:268" ht="12.75" customHeight="1" thickBot="1">
      <c r="I7" s="1230" t="s">
        <v>361</v>
      </c>
      <c r="J7" s="1231"/>
      <c r="K7" s="1231"/>
      <c r="L7" s="1231"/>
      <c r="M7" s="1231"/>
      <c r="N7" s="1232"/>
      <c r="P7" s="899" t="s">
        <v>221</v>
      </c>
      <c r="Q7" s="341">
        <v>6</v>
      </c>
      <c r="R7" s="104">
        <f>IF(S7="","",VLOOKUP(S7,Draw!$H$3:$I$20,2,FALSE))</f>
        <v>16</v>
      </c>
      <c r="S7" s="748" t="str">
        <f>Draw!H8</f>
        <v>Rene Stellingwerf</v>
      </c>
      <c r="T7" s="999"/>
      <c r="U7" s="741"/>
      <c r="V7" s="742"/>
      <c r="W7" s="3" t="str">
        <f>IF(H18&lt;&gt;"",F18,IF($L18&lt;&gt;"",$L18,IF($M18="","",$M18)))</f>
        <v>N</v>
      </c>
      <c r="X7" s="4" t="str">
        <f>IF(H35&lt;&gt;"",F35,IF($L35&lt;&gt;"",$L35,IF($M35="","",$M35)))</f>
        <v>N</v>
      </c>
      <c r="Y7" s="4" t="str">
        <f>IF(W12&lt;&gt;"",U12,IF($AA12&lt;&gt;"",$AA12,IF($AB12="","",$AB12)))</f>
        <v>N</v>
      </c>
      <c r="Z7" s="4" t="str">
        <f>IF(W41&lt;&gt;"",U41,IF($AA41&lt;&gt;"",$AA41,IF($AB41="","",$AB41)))</f>
        <v>N</v>
      </c>
      <c r="AA7" s="4" t="str">
        <f>IF(AL23&lt;&gt;"",AJ23,IF($AP23&lt;&gt;"",$AP23,IF($AQ23="","",$AQ23)))</f>
        <v>N</v>
      </c>
      <c r="AB7" s="7">
        <f t="shared" si="2"/>
        <v>0</v>
      </c>
      <c r="AC7" s="57">
        <f t="shared" si="0"/>
        <v>17</v>
      </c>
      <c r="AF7" s="341">
        <v>14</v>
      </c>
      <c r="AG7" s="104">
        <f>IF(AH7="","",VLOOKUP(AH7,Draw!$H$3:$I$20,2,FALSE))</f>
        <v>8</v>
      </c>
      <c r="AH7" s="748" t="str">
        <f>Draw!H16</f>
        <v>Stefan Pletschacher</v>
      </c>
      <c r="AI7" s="1006"/>
      <c r="AJ7" s="540"/>
      <c r="AK7" s="541"/>
      <c r="AL7" s="3">
        <f>IF(H25&lt;&gt;"",F25,IF($L25&lt;&gt;"",$L25,IF($M25="","",$M25)))</f>
        <v>0</v>
      </c>
      <c r="AM7" s="4">
        <f>IF(H32&lt;&gt;"",F32,IF($L32&lt;&gt;"",$L32,IF($M32="","",$M32)))</f>
        <v>1</v>
      </c>
      <c r="AN7" s="4">
        <f>IF(W23&lt;&gt;"",U23,IF($AA23&lt;&gt;"",$AA23,IF($AB23="","",$AB23)))</f>
        <v>0</v>
      </c>
      <c r="AO7" s="4">
        <f>IF(W30&lt;&gt;"",U30,IF($AA30&lt;&gt;"",$AA30,IF($AB30="","",$AB30)))</f>
        <v>0</v>
      </c>
      <c r="AP7" s="4">
        <f>IF(AL25&lt;&gt;"",AJ25,IF($AP25&lt;&gt;"",$AP25,IF($AQ25="","",$AQ25)))</f>
        <v>1</v>
      </c>
      <c r="AQ7" s="7">
        <f t="shared" si="1"/>
        <v>2</v>
      </c>
      <c r="AR7" s="57">
        <f t="shared" si="3"/>
        <v>14</v>
      </c>
      <c r="AT7"/>
      <c r="AU7"/>
      <c r="AV7"/>
      <c r="AW7"/>
      <c r="AX7"/>
      <c r="AY7"/>
      <c r="AZ7"/>
      <c r="BA7"/>
      <c r="BB7"/>
      <c r="BC7"/>
      <c r="BD7"/>
      <c r="BE7"/>
      <c r="BK7" s="1120"/>
      <c r="BV7" s="8">
        <f>SUM(BL8+BQ8+BV8)</f>
        <v>7</v>
      </c>
      <c r="BW7" s="8">
        <f>SUM(BM8+BR8+BW8)</f>
        <v>8</v>
      </c>
      <c r="BX7" s="8">
        <f>SUM(BN8+BS8+BX8)</f>
        <v>5</v>
      </c>
      <c r="BY7" s="8">
        <f>SUM(BO8+BT8+BY8)</f>
        <v>3</v>
      </c>
      <c r="BZ7" s="16">
        <f>SUM(BV7:BY7)</f>
        <v>23</v>
      </c>
      <c r="CA7" s="16"/>
      <c r="CC7" s="49">
        <f t="shared" si="4"/>
        <v>5</v>
      </c>
      <c r="CD7" s="50" t="str">
        <f t="shared" si="31"/>
        <v/>
      </c>
      <c r="CE7" s="31">
        <v>5</v>
      </c>
      <c r="CF7" s="121">
        <f t="shared" si="5"/>
        <v>12</v>
      </c>
      <c r="CG7" s="126"/>
      <c r="CH7" s="74" t="str">
        <f t="shared" si="32"/>
        <v>Vitaly Khomitsevich</v>
      </c>
      <c r="CI7" s="278">
        <f t="shared" si="6"/>
        <v>11.0221</v>
      </c>
      <c r="CJ7" s="85">
        <f t="shared" si="7"/>
        <v>2</v>
      </c>
      <c r="CK7" s="70">
        <f t="shared" si="8"/>
        <v>3</v>
      </c>
      <c r="CL7" s="70">
        <f t="shared" si="9"/>
        <v>1</v>
      </c>
      <c r="CM7" s="70">
        <f t="shared" si="10"/>
        <v>2</v>
      </c>
      <c r="CN7" s="86">
        <f t="shared" si="11"/>
        <v>3</v>
      </c>
      <c r="CO7" s="79">
        <f t="shared" si="33"/>
        <v>11</v>
      </c>
      <c r="CP7" s="52"/>
      <c r="CQ7" s="249"/>
      <c r="CR7" s="27">
        <f t="shared" si="12"/>
        <v>12</v>
      </c>
      <c r="CS7" s="258">
        <f>RANK(DP7,$DP$3:$DP$20)+COUNTIF(DP$3:DP7,DP7)-1</f>
        <v>10</v>
      </c>
      <c r="CT7" s="32">
        <f t="shared" si="13"/>
        <v>5</v>
      </c>
      <c r="CU7" s="423">
        <f>VLOOKUP(CW7,Draw!$B$3:$C$42,2,FALSE)</f>
        <v>14</v>
      </c>
      <c r="CV7" s="185">
        <f>VLOOKUP(CW7,Draw!$B$3:$C$42,2,FALSE)</f>
        <v>14</v>
      </c>
      <c r="CW7" s="33" t="str">
        <f t="shared" si="14"/>
        <v>Antonin Klatovsky</v>
      </c>
      <c r="CX7" s="4">
        <f t="shared" si="15"/>
        <v>1</v>
      </c>
      <c r="CY7" s="4">
        <f t="shared" si="15"/>
        <v>1</v>
      </c>
      <c r="CZ7" s="4">
        <f t="shared" si="15"/>
        <v>0</v>
      </c>
      <c r="DA7" s="4">
        <f t="shared" si="15"/>
        <v>0</v>
      </c>
      <c r="DB7" s="34">
        <f t="shared" si="15"/>
        <v>3</v>
      </c>
      <c r="DC7" s="250">
        <f t="shared" si="16"/>
        <v>5</v>
      </c>
      <c r="DD7" s="243">
        <f t="shared" si="17"/>
        <v>1</v>
      </c>
      <c r="DE7" s="236">
        <f t="shared" si="34"/>
        <v>0.01</v>
      </c>
      <c r="DF7" s="232">
        <f t="shared" si="18"/>
        <v>0</v>
      </c>
      <c r="DG7" s="234">
        <f t="shared" si="35"/>
        <v>0</v>
      </c>
      <c r="DH7" s="232">
        <f t="shared" si="19"/>
        <v>2</v>
      </c>
      <c r="DI7" s="41">
        <f t="shared" si="36"/>
        <v>2.0000000000000001E-4</v>
      </c>
      <c r="DJ7" s="271">
        <f t="shared" si="20"/>
        <v>2</v>
      </c>
      <c r="DK7" s="602">
        <f t="shared" si="37"/>
        <v>2.0000000000000002E-5</v>
      </c>
      <c r="DL7" s="281">
        <f t="shared" si="21"/>
        <v>0</v>
      </c>
      <c r="DM7" s="644">
        <f>SUM((60-$CU7)/100000000)</f>
        <v>4.5999999999999999E-7</v>
      </c>
      <c r="DN7" s="285">
        <f t="shared" si="22"/>
        <v>5.0102200000000003</v>
      </c>
      <c r="DO7" s="285">
        <f t="shared" si="23"/>
        <v>5.0102200000000003</v>
      </c>
      <c r="DP7" s="648">
        <f t="shared" si="38"/>
        <v>5.0102204600000002</v>
      </c>
      <c r="DQ7" s="595"/>
      <c r="DR7" s="205" t="str">
        <f>IF($DN$7=$DN$3,$CV$7,"")</f>
        <v/>
      </c>
      <c r="DS7" s="4" t="str">
        <f>IF($DN$7=$DN$4,$CV$7,"")</f>
        <v/>
      </c>
      <c r="DT7" s="4" t="str">
        <f>IF($DN$7=$DN$5,$CV$7,"")</f>
        <v/>
      </c>
      <c r="DU7" s="4" t="str">
        <f>IF($DN$7=$DN$6,$CV$7,"")</f>
        <v/>
      </c>
      <c r="DV7" s="208"/>
      <c r="DW7" s="4" t="str">
        <f>IF($DN$7=$DN$8,$CV$7,"")</f>
        <v/>
      </c>
      <c r="DX7" s="4" t="str">
        <f>IF($DN$7=$DN$9,$CV$7,"")</f>
        <v/>
      </c>
      <c r="DY7" s="4" t="str">
        <f>IF($DN$7=$DN$10,$CV$7,"")</f>
        <v/>
      </c>
      <c r="DZ7" s="4" t="str">
        <f>IF($DN$7=$DN$11,$CV$7,"")</f>
        <v/>
      </c>
      <c r="EA7" s="4" t="str">
        <f>IF($DN$7=$DN$12,$CV$7,"")</f>
        <v/>
      </c>
      <c r="EB7" s="4" t="str">
        <f>IF($DN$7=$DN$13,$CV$7,"")</f>
        <v/>
      </c>
      <c r="EC7" s="4" t="str">
        <f>IF($DN$7=$DN$14,$CV$7,"")</f>
        <v/>
      </c>
      <c r="ED7" s="4" t="str">
        <f>IF($DN$7=$DN$15,$CV$7,"")</f>
        <v/>
      </c>
      <c r="EE7" s="4" t="str">
        <f>IF($DN$7=$DN$16,$CV$7,"")</f>
        <v/>
      </c>
      <c r="EF7" s="4" t="str">
        <f>IF($DN$7=$DN$17,$CV$7,"")</f>
        <v/>
      </c>
      <c r="EG7" s="225" t="str">
        <f>IF($DN$7=$DN$18,$CV$7,"")</f>
        <v/>
      </c>
      <c r="EH7" s="215">
        <f>$R$6</f>
        <v>14</v>
      </c>
      <c r="EI7" s="205" t="str">
        <f>IF($DR$7="","",$FT$7)</f>
        <v/>
      </c>
      <c r="EJ7" s="4" t="str">
        <f>IF($DS$7="","",$FU$7)</f>
        <v/>
      </c>
      <c r="EK7" s="4" t="str">
        <f>IF($DT$7="","",$FV$7)</f>
        <v/>
      </c>
      <c r="EL7" s="4" t="str">
        <f>IF($DU$7="","",$FW$7)</f>
        <v/>
      </c>
      <c r="EM7" s="208"/>
      <c r="EN7" s="4" t="str">
        <f>IF($DW$7="","",$FY$7)</f>
        <v/>
      </c>
      <c r="EO7" s="4" t="str">
        <f>IF($DX$7="","",$FZ$7)</f>
        <v/>
      </c>
      <c r="EP7" s="4" t="str">
        <f>IF($DY$7="","",$GA$7)</f>
        <v/>
      </c>
      <c r="EQ7" s="4" t="str">
        <f>IF($DZ$7="","",$GB$7)</f>
        <v/>
      </c>
      <c r="ER7" s="4" t="str">
        <f>IF($EA$7="","",$GC$7)</f>
        <v/>
      </c>
      <c r="ES7" s="4" t="str">
        <f>IF($EB$7="","",$GD$7)</f>
        <v/>
      </c>
      <c r="ET7" s="4" t="str">
        <f>IF($EC$7="","",$GE$7)</f>
        <v/>
      </c>
      <c r="EU7" s="4" t="str">
        <f>IF($ED$7="","",$GF$7)</f>
        <v/>
      </c>
      <c r="EV7" s="4" t="str">
        <f>IF($EE$7="","",$GG$7)</f>
        <v/>
      </c>
      <c r="EW7" s="4" t="str">
        <f>IF($EF$7="","",$GH$7)</f>
        <v/>
      </c>
      <c r="EX7" s="225" t="str">
        <f>IF($EG$7="","",$GI$7)</f>
        <v/>
      </c>
      <c r="EY7" s="230">
        <f>COUNTIF($EI$7:$EX$7,$EH$7)</f>
        <v>0</v>
      </c>
      <c r="FA7" s="130">
        <f t="shared" si="24"/>
        <v>14</v>
      </c>
      <c r="FB7" s="13" t="str">
        <f t="shared" si="25"/>
        <v>Antonin Klatovsky</v>
      </c>
      <c r="FC7" s="129">
        <f t="shared" si="39"/>
        <v>0</v>
      </c>
      <c r="FD7" s="129">
        <f t="shared" si="26"/>
        <v>0</v>
      </c>
      <c r="FE7" s="504">
        <v>0</v>
      </c>
      <c r="FF7" s="129">
        <f t="shared" si="40"/>
        <v>0</v>
      </c>
      <c r="FG7" s="483">
        <f t="shared" si="27"/>
        <v>5.0102204600000002</v>
      </c>
      <c r="FH7" s="483">
        <f t="shared" si="41"/>
        <v>5.0102204600000002</v>
      </c>
      <c r="FI7" s="176">
        <f t="shared" si="42"/>
        <v>5.0102204600000002</v>
      </c>
      <c r="FJ7" s="484">
        <f t="shared" si="28"/>
        <v>5.0102204600000002</v>
      </c>
      <c r="FK7" s="16">
        <f t="shared" si="29"/>
        <v>10</v>
      </c>
      <c r="FL7" s="710">
        <v>5</v>
      </c>
      <c r="FM7" s="710">
        <f t="shared" si="43"/>
        <v>5</v>
      </c>
      <c r="FN7" s="512"/>
      <c r="FO7" s="624" t="str">
        <f t="shared" si="44"/>
        <v>Vitaly Khomitsevich</v>
      </c>
      <c r="FP7" s="679">
        <f t="shared" si="47"/>
        <v>12</v>
      </c>
      <c r="FQ7" s="13">
        <f t="shared" si="30"/>
        <v>0</v>
      </c>
      <c r="FS7" s="215">
        <f>$R$6</f>
        <v>14</v>
      </c>
      <c r="FT7" s="205">
        <f>IF($M$29&gt;$M$30,$FS$3,IF($M$30&gt;$M$29,$FS$7,""))</f>
        <v>14</v>
      </c>
      <c r="FU7" s="4">
        <f>IF($AB$19&gt;$AB$17,$FS$4,IF($AB$17&gt;$AB$19,$FS$7,""))</f>
        <v>3</v>
      </c>
      <c r="FV7" s="4">
        <f>IF($AB$37&gt;$AB$39,$FS$5,IF($AB$39&gt;$AB$37,$FS$7,""))</f>
        <v>10</v>
      </c>
      <c r="FW7" s="4">
        <f>IF($AQ$27&gt;$AQ$24,$FS$6,IF($AQ$24&gt;$AQ$27,$FS$7,""))</f>
        <v>14</v>
      </c>
      <c r="FX7" s="208"/>
      <c r="FY7" s="4">
        <f>IF($M$16&gt;$M$18,$FS$7,IF($M$18&gt;$M$16,$FS$8,""))</f>
        <v>14</v>
      </c>
      <c r="FZ7" s="4">
        <f>IF($M$16&gt;$M$17,$FS$7,IF($M$17&gt;$M$16,$FS$9,""))</f>
        <v>4</v>
      </c>
      <c r="GA7" s="4">
        <f>IF($M$16&gt;$M$19,$FS$7,IF($M$19&gt;$M$16,$FS$10,""))</f>
        <v>7</v>
      </c>
      <c r="GB7" s="4">
        <f>IF($M$30&gt;$M$31,$FS$7,IF($M$31&gt;$M$30,$FS$11,""))</f>
        <v>1</v>
      </c>
      <c r="GC7" s="4">
        <f>IF($AB$39&gt;$AB$38,$FS$7,IF($AB$38&gt;$AB$39,$FS$12))</f>
        <v>12</v>
      </c>
      <c r="GD7" s="4">
        <f>IF($AQ$24&gt;$AQ$26,$FS$7,IF($AQ$26&gt;$AQ$24,$FS$13,""))</f>
        <v>14</v>
      </c>
      <c r="GE7" s="4">
        <f>IF($AB$17&gt;$AB$16,$FS$7,IF($AB$16&gt;$AB$17,$FS$14,""))</f>
        <v>11</v>
      </c>
      <c r="GF7" s="4">
        <f>IF($M$30&gt;$M$28,$FS$7,IF($M$28&gt;$M$30,$FS$15,""))</f>
        <v>19</v>
      </c>
      <c r="GG7" s="4">
        <f>IF($AQ$24&gt;$AQ$25,$FS$7,IF($AQ$25&gt;$AQ$24,$FS$16,""))</f>
        <v>14</v>
      </c>
      <c r="GH7" s="4">
        <f>IF($AB$17&gt;$AB$18,$FS$7,IF($AB$18&gt;$AB$17,$FS$17,""))</f>
        <v>2</v>
      </c>
      <c r="GI7" s="211">
        <f>IF($AB$39&gt;$AB$36,$FS$7,IF($AB$36&gt;$AB$39,$FS$18,""))</f>
        <v>5</v>
      </c>
      <c r="GK7" s="8">
        <v>5</v>
      </c>
      <c r="GL7" s="205"/>
      <c r="GM7" s="4"/>
      <c r="GN7" s="4"/>
      <c r="GO7" s="4"/>
      <c r="GP7" s="225"/>
      <c r="GQ7" s="230">
        <f t="shared" si="46"/>
        <v>0</v>
      </c>
      <c r="GR7" s="601">
        <f t="shared" si="45"/>
        <v>0</v>
      </c>
      <c r="GX7" s="1179"/>
      <c r="GY7" s="1179"/>
      <c r="GZ7" s="1179"/>
      <c r="HA7" s="1179"/>
      <c r="HH7" s="1179"/>
    </row>
    <row r="8" spans="1:268" ht="12.75" customHeight="1" thickBot="1">
      <c r="I8" s="1234" t="str">
        <f>Draw!T6&amp;" 1"</f>
        <v>Assen 1</v>
      </c>
      <c r="J8" s="1235"/>
      <c r="K8" s="1235"/>
      <c r="L8" s="1235"/>
      <c r="M8" s="1235"/>
      <c r="N8" s="1236"/>
      <c r="P8" s="900" t="s">
        <v>222</v>
      </c>
      <c r="Q8" s="341">
        <v>7</v>
      </c>
      <c r="R8" s="104">
        <f>IF(S8="","",VLOOKUP(S8,Draw!$H$3:$I$20,2,FALSE))</f>
        <v>4</v>
      </c>
      <c r="S8" s="749" t="str">
        <f>Draw!H9</f>
        <v>Igor Kononov</v>
      </c>
      <c r="T8" s="1000"/>
      <c r="U8" s="741"/>
      <c r="V8" s="742"/>
      <c r="W8" s="3">
        <f>IF(H17&lt;&gt;"",F17,IF($L17&lt;&gt;"",$L17,IF($M17="","",$M17)))</f>
        <v>3</v>
      </c>
      <c r="X8" s="4">
        <f>IF(H38&lt;&gt;"",F38,IF($L38&lt;&gt;"",$L38,IF($M38="","",$M38)))</f>
        <v>2</v>
      </c>
      <c r="Y8" s="4">
        <f>IF(W27&lt;&gt;"",U27,IF($AA27&lt;&gt;"",$AA27,IF($AB27="","",$AB27)))</f>
        <v>3</v>
      </c>
      <c r="Z8" s="4">
        <f>IF(W28&lt;&gt;"",U28,IF($AA28&lt;&gt;"",$AA28,IF($AB28="","",$AB28)))</f>
        <v>3</v>
      </c>
      <c r="AA8" s="4">
        <f>IF(AL18&lt;&gt;"",AJ18,IF($AP18&lt;&gt;"",$AP18,IF($AQ18="","",$AQ18)))</f>
        <v>1</v>
      </c>
      <c r="AB8" s="7">
        <f t="shared" si="2"/>
        <v>12</v>
      </c>
      <c r="AC8" s="57">
        <f t="shared" si="0"/>
        <v>4</v>
      </c>
      <c r="AF8" s="341">
        <v>15</v>
      </c>
      <c r="AG8" s="104">
        <f>IF(AH8="","",VLOOKUP(AH8,Draw!$H$3:$I$20,2,FALSE))</f>
        <v>2</v>
      </c>
      <c r="AH8" s="749" t="str">
        <f>Draw!H17</f>
        <v>Dimitry Koltakov</v>
      </c>
      <c r="AI8" s="1004"/>
      <c r="AJ8" s="540"/>
      <c r="AK8" s="541"/>
      <c r="AL8" s="3">
        <f>IF(H24&lt;&gt;"",F24,IF($L24&lt;&gt;"",$L24,IF($M24="","",$M24)))</f>
        <v>3</v>
      </c>
      <c r="AM8" s="4">
        <f>IF(H37&lt;&gt;"",F37,IF($L37&lt;&gt;"",$L37,IF($M37="","",$M37)))</f>
        <v>3</v>
      </c>
      <c r="AN8" s="4">
        <f>IF(W18&lt;&gt;"",U18,IF($AA18&lt;&gt;"",$AA18,IF($AB18="","",$AB18)))</f>
        <v>3</v>
      </c>
      <c r="AO8" s="4">
        <f>IF(W43&lt;&gt;"",U43,IF($AA43&lt;&gt;"",$AA43,IF($AB43="","",$AB43)))</f>
        <v>3</v>
      </c>
      <c r="AP8" s="4">
        <f>IF(AL14&lt;&gt;"",AJ14,IF($AP14&lt;&gt;"",$AP14,IF($AQ14="","",$AQ14)))</f>
        <v>3</v>
      </c>
      <c r="AQ8" s="7">
        <f t="shared" si="1"/>
        <v>15</v>
      </c>
      <c r="AR8" s="57">
        <f t="shared" si="3"/>
        <v>1</v>
      </c>
      <c r="AT8"/>
      <c r="AU8"/>
      <c r="AV8"/>
      <c r="AW8"/>
      <c r="AX8"/>
      <c r="AY8"/>
      <c r="AZ8"/>
      <c r="BA8"/>
      <c r="BB8"/>
      <c r="BC8"/>
      <c r="BD8"/>
      <c r="BE8"/>
      <c r="BK8" s="1120"/>
      <c r="BL8" s="8">
        <f>COUNTIF(BL12:BL43,3)</f>
        <v>1</v>
      </c>
      <c r="BM8" s="8">
        <f>COUNTIF(BM12:BM43,3)</f>
        <v>3</v>
      </c>
      <c r="BN8" s="8">
        <f>COUNTIF(BN12:BN43,3)</f>
        <v>3</v>
      </c>
      <c r="BO8" s="8">
        <f>COUNTIF(BO12:BO43,3)</f>
        <v>1</v>
      </c>
      <c r="BQ8" s="8">
        <f>COUNTIF(BQ12:BQ43,3)</f>
        <v>2</v>
      </c>
      <c r="BR8" s="8">
        <f>COUNTIF(BR12:BR43,3)</f>
        <v>3</v>
      </c>
      <c r="BS8" s="8">
        <f>COUNTIF(BS12:BS43,3)</f>
        <v>1</v>
      </c>
      <c r="BT8" s="8">
        <f>COUNTIF(BT12:BT43,3)</f>
        <v>2</v>
      </c>
      <c r="BV8" s="8">
        <f>COUNTIF(BV12:BV43,3)</f>
        <v>4</v>
      </c>
      <c r="BW8" s="8">
        <f>COUNTIF(BW12:BW43,3)</f>
        <v>2</v>
      </c>
      <c r="BX8" s="8">
        <f>COUNTIF(BX12:BX43,3)</f>
        <v>1</v>
      </c>
      <c r="BY8" s="8">
        <f>COUNTIF(BY12:BY43,3)</f>
        <v>0</v>
      </c>
      <c r="CA8" s="16"/>
      <c r="CC8" s="49">
        <f t="shared" si="4"/>
        <v>6</v>
      </c>
      <c r="CD8" s="50" t="str">
        <f t="shared" si="31"/>
        <v/>
      </c>
      <c r="CE8" s="22">
        <v>6</v>
      </c>
      <c r="CF8" s="121">
        <f t="shared" si="5"/>
        <v>3</v>
      </c>
      <c r="CG8" s="126"/>
      <c r="CH8" s="74" t="str">
        <f t="shared" si="32"/>
        <v>Franz Zorn</v>
      </c>
      <c r="CI8" s="278">
        <f t="shared" si="6"/>
        <v>10.0131</v>
      </c>
      <c r="CJ8" s="85">
        <f t="shared" si="7"/>
        <v>2</v>
      </c>
      <c r="CK8" s="70">
        <f t="shared" si="8"/>
        <v>1</v>
      </c>
      <c r="CL8" s="70">
        <f t="shared" si="9"/>
        <v>2</v>
      </c>
      <c r="CM8" s="70">
        <f t="shared" si="10"/>
        <v>3</v>
      </c>
      <c r="CN8" s="86">
        <f t="shared" si="11"/>
        <v>2</v>
      </c>
      <c r="CO8" s="79">
        <f t="shared" si="33"/>
        <v>10</v>
      </c>
      <c r="CP8" s="52"/>
      <c r="CQ8" s="249"/>
      <c r="CR8" s="27">
        <f t="shared" si="12"/>
        <v>3</v>
      </c>
      <c r="CS8" s="258">
        <f>RANK(DP8,$DP$3:$DP$20)+COUNTIF(DP$3:DP8,DP8)-1</f>
        <v>17</v>
      </c>
      <c r="CT8" s="32">
        <f t="shared" si="13"/>
        <v>6</v>
      </c>
      <c r="CU8" s="423">
        <f>VLOOKUP(CW8,Draw!$B$3:$C$42,2,FALSE)</f>
        <v>16</v>
      </c>
      <c r="CV8" s="185">
        <f>VLOOKUP(CW8,Draw!$B$3:$C$42,2,FALSE)</f>
        <v>16</v>
      </c>
      <c r="CW8" s="33" t="str">
        <f t="shared" si="14"/>
        <v>Rene Stellingwerf</v>
      </c>
      <c r="CX8" s="4" t="str">
        <f t="shared" si="15"/>
        <v>N</v>
      </c>
      <c r="CY8" s="4" t="str">
        <f t="shared" si="15"/>
        <v>N</v>
      </c>
      <c r="CZ8" s="4" t="str">
        <f t="shared" si="15"/>
        <v>N</v>
      </c>
      <c r="DA8" s="4" t="str">
        <f t="shared" si="15"/>
        <v>N</v>
      </c>
      <c r="DB8" s="34" t="str">
        <f t="shared" si="15"/>
        <v>N</v>
      </c>
      <c r="DC8" s="250">
        <f t="shared" si="16"/>
        <v>0</v>
      </c>
      <c r="DD8" s="243">
        <f t="shared" si="17"/>
        <v>0</v>
      </c>
      <c r="DE8" s="236">
        <f t="shared" si="34"/>
        <v>0</v>
      </c>
      <c r="DF8" s="232">
        <f t="shared" si="18"/>
        <v>0</v>
      </c>
      <c r="DG8" s="234">
        <f t="shared" si="35"/>
        <v>0</v>
      </c>
      <c r="DH8" s="232">
        <f t="shared" si="19"/>
        <v>0</v>
      </c>
      <c r="DI8" s="41">
        <f t="shared" si="36"/>
        <v>0</v>
      </c>
      <c r="DJ8" s="271">
        <f t="shared" si="20"/>
        <v>0</v>
      </c>
      <c r="DK8" s="602">
        <f t="shared" si="37"/>
        <v>0</v>
      </c>
      <c r="DL8" s="281">
        <f t="shared" si="21"/>
        <v>0</v>
      </c>
      <c r="DM8" s="643">
        <f t="shared" ref="DM8:DM20" si="48">SUM((60-$CU8)/100000000)</f>
        <v>4.4000000000000002E-7</v>
      </c>
      <c r="DN8" s="284">
        <f t="shared" si="22"/>
        <v>0</v>
      </c>
      <c r="DO8" s="284">
        <f t="shared" si="23"/>
        <v>0</v>
      </c>
      <c r="DP8" s="647">
        <f t="shared" si="38"/>
        <v>4.4000000000000002E-7</v>
      </c>
      <c r="DQ8" s="594"/>
      <c r="DR8" s="205" t="str">
        <f>IF($DN$8=$DN$3,$CV$8,"")</f>
        <v/>
      </c>
      <c r="DS8" s="4" t="str">
        <f>IF($DN$8=$DN$4,$CV$8,"")</f>
        <v/>
      </c>
      <c r="DT8" s="4" t="str">
        <f>IF($DN$8=$DN$5,$CV$8,"")</f>
        <v/>
      </c>
      <c r="DU8" s="4" t="str">
        <f>IF($DN$8=$DN$6,$CV$8,"")</f>
        <v/>
      </c>
      <c r="DV8" s="4" t="str">
        <f>IF($DN$8=$DN$7,$CV$8,"")</f>
        <v/>
      </c>
      <c r="DW8" s="208"/>
      <c r="DX8" s="4" t="str">
        <f>IF($DN$8=$DN$9,$CV$8,"")</f>
        <v/>
      </c>
      <c r="DY8" s="4" t="str">
        <f>IF($DN$8=$DN$10,$CV$8,"")</f>
        <v/>
      </c>
      <c r="DZ8" s="4" t="str">
        <f>IF($DN$8=$DN$11,$CV$8,"")</f>
        <v/>
      </c>
      <c r="EA8" s="4" t="str">
        <f>IF($DN$8=$DN$12,$CV$8,"")</f>
        <v/>
      </c>
      <c r="EB8" s="4" t="str">
        <f>IF($DN$8=$DN$13,$CV$8,"")</f>
        <v/>
      </c>
      <c r="EC8" s="4" t="str">
        <f>IF($DN$8=$DN$14,$CV$8,"")</f>
        <v/>
      </c>
      <c r="ED8" s="4" t="str">
        <f>IF($DN$8=$DN$15,$CV$8,"")</f>
        <v/>
      </c>
      <c r="EE8" s="4" t="str">
        <f>IF($DN$8=$DN$16,$CV$8,"")</f>
        <v/>
      </c>
      <c r="EF8" s="4" t="str">
        <f>IF($DN$8=$DN$17,$CV$8,"")</f>
        <v/>
      </c>
      <c r="EG8" s="225" t="str">
        <f>IF($DN$8=$DN$18,$CV$8,"")</f>
        <v/>
      </c>
      <c r="EH8" s="215">
        <f>$R$7</f>
        <v>16</v>
      </c>
      <c r="EI8" s="205" t="str">
        <f>IF($DR$8="","",$FT$8)</f>
        <v/>
      </c>
      <c r="EJ8" s="4" t="str">
        <f>IF($DS$8="","",$FU$8)</f>
        <v/>
      </c>
      <c r="EK8" s="4" t="str">
        <f>IF($DT$8="","",$FV$8)</f>
        <v/>
      </c>
      <c r="EL8" s="4" t="str">
        <f>IF($DU$8="","",$FW$8)</f>
        <v/>
      </c>
      <c r="EM8" s="4" t="str">
        <f>IF($DV$8="","",$FX$8)</f>
        <v/>
      </c>
      <c r="EN8" s="208"/>
      <c r="EO8" s="4" t="str">
        <f>IF($DX$8="","",$FZ$8)</f>
        <v/>
      </c>
      <c r="EP8" s="4" t="str">
        <f>IF($DY$8="","",$GA$8)</f>
        <v/>
      </c>
      <c r="EQ8" s="4" t="str">
        <f>IF($DZ$8="","",$GB$8)</f>
        <v/>
      </c>
      <c r="ER8" s="4" t="str">
        <f>IF($EA$8="","",$GC$8)</f>
        <v/>
      </c>
      <c r="ES8" s="4" t="str">
        <f>IF($EB$8="","",$GD$8)</f>
        <v/>
      </c>
      <c r="ET8" s="4" t="str">
        <f>IF($EC$8="","",$GE$8)</f>
        <v/>
      </c>
      <c r="EU8" s="4" t="str">
        <f>IF($ED$8="","",$GF$8)</f>
        <v/>
      </c>
      <c r="EV8" s="4" t="str">
        <f>IF($EE$8="","",$GG$8)</f>
        <v/>
      </c>
      <c r="EW8" s="4" t="str">
        <f>IF($EF$8="","",$GH$8)</f>
        <v/>
      </c>
      <c r="EX8" s="225" t="str">
        <f>IF($EG$8="","",$GI$8)</f>
        <v/>
      </c>
      <c r="EY8" s="230">
        <f>COUNTIF($EI$8:$EX$8,$EH$8)</f>
        <v>0</v>
      </c>
      <c r="FA8" s="130">
        <f t="shared" si="24"/>
        <v>16</v>
      </c>
      <c r="FB8" s="13" t="str">
        <f t="shared" si="25"/>
        <v>Rene Stellingwerf</v>
      </c>
      <c r="FC8" s="129">
        <f t="shared" si="39"/>
        <v>0</v>
      </c>
      <c r="FD8" s="129">
        <f t="shared" si="26"/>
        <v>0</v>
      </c>
      <c r="FE8" s="504">
        <v>0</v>
      </c>
      <c r="FF8" s="129">
        <f t="shared" si="40"/>
        <v>0</v>
      </c>
      <c r="FG8" s="483">
        <f t="shared" si="27"/>
        <v>4.4000000000000002E-7</v>
      </c>
      <c r="FH8" s="483">
        <f t="shared" si="41"/>
        <v>4.4000000000000002E-7</v>
      </c>
      <c r="FI8" s="176">
        <f t="shared" si="42"/>
        <v>4.4000000000000002E-7</v>
      </c>
      <c r="FJ8" s="484">
        <f t="shared" si="28"/>
        <v>4.4000000000000002E-7</v>
      </c>
      <c r="FK8" s="16">
        <f t="shared" si="29"/>
        <v>17</v>
      </c>
      <c r="FL8" s="710">
        <v>6</v>
      </c>
      <c r="FM8" s="710">
        <f t="shared" si="43"/>
        <v>0</v>
      </c>
      <c r="FN8" s="512"/>
      <c r="FO8" s="624" t="str">
        <f t="shared" si="44"/>
        <v>Franz Zorn</v>
      </c>
      <c r="FP8" s="679">
        <f t="shared" si="47"/>
        <v>11</v>
      </c>
      <c r="FQ8" s="13">
        <f t="shared" si="30"/>
        <v>0</v>
      </c>
      <c r="FS8" s="215">
        <f>$R$7</f>
        <v>16</v>
      </c>
      <c r="FT8" s="205">
        <f>IF($AB$14&gt;$AB$12,$FS$3,IF($AB$12&gt;$AB$14,$FS$8,""))</f>
        <v>9</v>
      </c>
      <c r="FU8" s="4">
        <f>IF($M$34&gt;$M$35,$FS$4,IF($M$35&gt;$M$34,$FS$8,""))</f>
        <v>3</v>
      </c>
      <c r="FV8" s="4">
        <f>IF($AQ$20&gt;$AQ$23,$FS$5,IF($AQ$23&gt;$AQ$20,$FS$8,""))</f>
        <v>10</v>
      </c>
      <c r="FW8" s="4">
        <f>IF($AB$42&gt;$AB$41,$FS$6,IF($AB$41&gt;$AB$42,$FS$8,""))</f>
        <v>6</v>
      </c>
      <c r="FX8" s="4">
        <f>IF($M$16&gt;$M$18,$FS$7,IF($M$18&gt;$M$16,$FS$8,""))</f>
        <v>14</v>
      </c>
      <c r="FY8" s="208"/>
      <c r="FZ8" s="4">
        <f>IF($M$18&gt;$M$17,$FS$8,IF($M$17&gt;$M$18,$FS$9,""))</f>
        <v>4</v>
      </c>
      <c r="GA8" s="4">
        <f>IF($M$18&gt;$M$19,$FS$8,IF($M$19&gt;$M$18,$FS$10,""))</f>
        <v>7</v>
      </c>
      <c r="GB8" s="4">
        <f>IF($AB$41&gt;$AB$40,$FS$8,IF($AB$40&gt;$AB$41,$FS$11,""))</f>
        <v>1</v>
      </c>
      <c r="GC8" s="4">
        <f>IF($M$35&gt;$M$33,$FS$8,IF($M$33&gt;$M$35,$FS$12,""))</f>
        <v>12</v>
      </c>
      <c r="GD8" s="4">
        <f>IF($AB$12&gt;$AB$15,$FS$8,IF($AB$15&gt;$AB$12,$FS$13,""))</f>
        <v>15</v>
      </c>
      <c r="GE8" s="4">
        <f>IF($AQ$23&gt;$AQ$21,$FS$8,IF($AQ$21&gt;$AQ$23,$FS$14,""))</f>
        <v>11</v>
      </c>
      <c r="GF8" s="4">
        <f>IF($AQ$23&gt;$AQ$22,$FS$8,IF($AQ$22&gt;$AQ$23,$FS$15,""))</f>
        <v>19</v>
      </c>
      <c r="GG8" s="4">
        <f>IF($M$35&gt;$M$32,$FS$8,IF($M$32&gt;$M$35,$FS$16,""))</f>
        <v>8</v>
      </c>
      <c r="GH8" s="4">
        <f>IF($AB$41&gt;$AB$43,$FS$8,IF($AB$43&gt;$AB$41,$FS$17,""))</f>
        <v>2</v>
      </c>
      <c r="GI8" s="211">
        <f>IF($AB$12&gt;$AB$13,$FS$8,IF($AB$13&gt;$AB$12,$FS$18,""))</f>
        <v>5</v>
      </c>
      <c r="GK8" s="8">
        <v>6</v>
      </c>
      <c r="GL8" s="205"/>
      <c r="GM8" s="4"/>
      <c r="GN8" s="4"/>
      <c r="GO8" s="4"/>
      <c r="GP8" s="225"/>
      <c r="GQ8" s="230">
        <f t="shared" si="46"/>
        <v>5</v>
      </c>
      <c r="GR8" s="601">
        <f t="shared" si="45"/>
        <v>5.0000000000000004E-6</v>
      </c>
      <c r="GX8" s="1179"/>
      <c r="GY8" s="1179"/>
      <c r="GZ8" s="1179"/>
      <c r="HA8" s="1179"/>
      <c r="HH8" s="1179"/>
    </row>
    <row r="9" spans="1:268" ht="12.75" customHeight="1" thickBot="1">
      <c r="I9" s="1237"/>
      <c r="J9" s="1238"/>
      <c r="K9" s="1238"/>
      <c r="L9" s="1238"/>
      <c r="M9" s="1238"/>
      <c r="N9" s="1239"/>
      <c r="Q9" s="342">
        <v>8</v>
      </c>
      <c r="R9" s="304">
        <f>IF(S9="","",VLOOKUP(S9,Draw!$H$3:$I$20,2,FALSE))</f>
        <v>7</v>
      </c>
      <c r="S9" s="751" t="str">
        <f>Draw!H10</f>
        <v>Gunter Bauer</v>
      </c>
      <c r="T9" s="1002"/>
      <c r="U9" s="743"/>
      <c r="V9" s="744"/>
      <c r="W9" s="305">
        <f>IF(H19&lt;&gt;"",F19,IF($L19&lt;&gt;"",$L19,IF($M19="","",$M19)))</f>
        <v>2</v>
      </c>
      <c r="X9" s="297">
        <f>IF(H41&lt;&gt;"",F41,IF($L41&lt;&gt;"",$L41,IF($M41="","",$M41)))</f>
        <v>2</v>
      </c>
      <c r="Y9" s="297">
        <f>IF(W20&lt;&gt;"",U20,IF($AA20&lt;&gt;"",$AA20,IF($AB20="","",$AB20)))</f>
        <v>1</v>
      </c>
      <c r="Z9" s="297">
        <f>IF(W34&lt;&gt;"",U34,IF($AA34&lt;&gt;"",$AA34,IF($AB34="","",$AB34)))</f>
        <v>2</v>
      </c>
      <c r="AA9" s="306">
        <f>IF(AL13&lt;&gt;"",AJ13,IF($AP13&lt;&gt;"",$AP13,IF($AQ13="","",$AQ13)))</f>
        <v>2</v>
      </c>
      <c r="AB9" s="307">
        <f t="shared" si="2"/>
        <v>9</v>
      </c>
      <c r="AC9" s="308">
        <f t="shared" si="0"/>
        <v>7</v>
      </c>
      <c r="AD9" s="269"/>
      <c r="AE9" s="298"/>
      <c r="AF9" s="342">
        <v>16</v>
      </c>
      <c r="AG9" s="304">
        <f>IF(AH9="","",VLOOKUP(AH9,Draw!$H$3:$I$20,2,FALSE))</f>
        <v>5</v>
      </c>
      <c r="AH9" s="751" t="str">
        <f>Draw!H18</f>
        <v>Stefan Svensson</v>
      </c>
      <c r="AI9" s="1007"/>
      <c r="AJ9" s="534"/>
      <c r="AK9" s="535"/>
      <c r="AL9" s="305">
        <f>IF(H26&lt;&gt;"",F26,IF($L26&lt;&gt;"",$L26,IF($M26="","",$M26)))</f>
        <v>2</v>
      </c>
      <c r="AM9" s="297">
        <f>IF(H43&lt;&gt;"",F43,IF($L43&lt;&gt;"",$L43,IF($M43="","",$M43)))</f>
        <v>1</v>
      </c>
      <c r="AN9" s="297">
        <f>IF(W13&lt;&gt;"",U13,IF($AA13&lt;&gt;"",$AA13,IF($AB13="","",$AB13)))</f>
        <v>3</v>
      </c>
      <c r="AO9" s="297">
        <f>IF(W36&lt;&gt;"",U36,IF($AA36&lt;&gt;"",$AA36,IF($AB36="","",$AB36)))</f>
        <v>2</v>
      </c>
      <c r="AP9" s="306">
        <f>IF(AL19&lt;&gt;"",AJ19,IF($AP19&lt;&gt;"",$AP19,IF($AQ19="","",$AQ19)))</f>
        <v>0</v>
      </c>
      <c r="AQ9" s="307">
        <f t="shared" si="1"/>
        <v>8</v>
      </c>
      <c r="AR9" s="308">
        <f t="shared" si="3"/>
        <v>8</v>
      </c>
      <c r="AT9"/>
      <c r="AU9"/>
      <c r="AV9"/>
      <c r="AW9"/>
      <c r="AX9"/>
      <c r="AY9"/>
      <c r="AZ9"/>
      <c r="BA9"/>
      <c r="BB9"/>
      <c r="BD9" s="1128" t="str">
        <f>IF(BJ17=23,"Meeting Result",IF(BJ17&lt;23,"Meeting Result
(After "&amp;BJ17&amp;" Heats)","GP Result"))</f>
        <v>Meeting Result</v>
      </c>
      <c r="BE9" s="1129"/>
      <c r="BF9" s="1130"/>
      <c r="BI9" s="133"/>
      <c r="BK9" s="1120"/>
      <c r="BL9" s="8">
        <f>SUM(BL12:BL43)</f>
        <v>7</v>
      </c>
      <c r="BM9" s="8">
        <f>SUM(BM12:BM43)</f>
        <v>14</v>
      </c>
      <c r="BN9" s="8">
        <f>SUM(BN12:BN43)</f>
        <v>16</v>
      </c>
      <c r="BO9" s="8">
        <f>SUM(BO12:BO43)</f>
        <v>11</v>
      </c>
      <c r="BQ9" s="8">
        <f>SUM(BL9+SUM(BQ12:BQ43))</f>
        <v>20</v>
      </c>
      <c r="BR9" s="8">
        <f>SUM(BM9+SUM(BR12:BR43))</f>
        <v>25</v>
      </c>
      <c r="BS9" s="8">
        <f>SUM(BN9+SUM(BS12:BS43))</f>
        <v>28</v>
      </c>
      <c r="BT9" s="8">
        <f>SUM(BO9+SUM(BT12:BT43))</f>
        <v>23</v>
      </c>
      <c r="BV9" s="8">
        <f>SUM(BQ9+SUM(BV12:BV43))</f>
        <v>36</v>
      </c>
      <c r="BW9" s="8">
        <f>SUM(BR9+SUM(BW12:BW43))</f>
        <v>38</v>
      </c>
      <c r="BX9" s="8">
        <f>SUM(BS9+SUM(BX12:BX43))</f>
        <v>36</v>
      </c>
      <c r="BY9" s="8">
        <f>SUM(BT9+SUM(BY12:BY43))</f>
        <v>28</v>
      </c>
      <c r="CA9" s="16"/>
      <c r="CC9" s="49">
        <f t="shared" si="4"/>
        <v>7</v>
      </c>
      <c r="CD9" s="50" t="str">
        <f t="shared" si="31"/>
        <v/>
      </c>
      <c r="CE9" s="31">
        <v>7</v>
      </c>
      <c r="CF9" s="120">
        <f t="shared" si="5"/>
        <v>8</v>
      </c>
      <c r="CG9" s="125"/>
      <c r="CH9" s="74" t="str">
        <f t="shared" si="32"/>
        <v>Gunter Bauer</v>
      </c>
      <c r="CI9" s="277">
        <f t="shared" si="6"/>
        <v>9.0040999999999993</v>
      </c>
      <c r="CJ9" s="83">
        <f t="shared" si="7"/>
        <v>2</v>
      </c>
      <c r="CK9" s="69">
        <f t="shared" si="8"/>
        <v>2</v>
      </c>
      <c r="CL9" s="69">
        <f t="shared" si="9"/>
        <v>1</v>
      </c>
      <c r="CM9" s="69">
        <f t="shared" si="10"/>
        <v>2</v>
      </c>
      <c r="CN9" s="84">
        <f t="shared" si="11"/>
        <v>2</v>
      </c>
      <c r="CO9" s="78">
        <f t="shared" si="33"/>
        <v>9</v>
      </c>
      <c r="CP9" s="52"/>
      <c r="CQ9" s="249"/>
      <c r="CR9" s="27">
        <f t="shared" si="12"/>
        <v>8</v>
      </c>
      <c r="CS9" s="258">
        <f>RANK(DP9,$DP$3:$DP$20)+COUNTIF(DP$3:DP9,DP9)-1</f>
        <v>4</v>
      </c>
      <c r="CT9" s="32">
        <f t="shared" si="13"/>
        <v>7</v>
      </c>
      <c r="CU9" s="423">
        <f>VLOOKUP(CW9,Draw!$B$3:$C$42,2,FALSE)</f>
        <v>4</v>
      </c>
      <c r="CV9" s="185">
        <f>VLOOKUP(CW9,Draw!$B$3:$C$42,2,FALSE)</f>
        <v>4</v>
      </c>
      <c r="CW9" s="33" t="str">
        <f t="shared" si="14"/>
        <v>Igor Kononov</v>
      </c>
      <c r="CX9" s="4">
        <f t="shared" si="15"/>
        <v>3</v>
      </c>
      <c r="CY9" s="4">
        <f t="shared" si="15"/>
        <v>2</v>
      </c>
      <c r="CZ9" s="4">
        <f t="shared" si="15"/>
        <v>3</v>
      </c>
      <c r="DA9" s="4">
        <f t="shared" si="15"/>
        <v>3</v>
      </c>
      <c r="DB9" s="34">
        <f t="shared" si="15"/>
        <v>1</v>
      </c>
      <c r="DC9" s="250">
        <f t="shared" si="16"/>
        <v>12</v>
      </c>
      <c r="DD9" s="243">
        <f t="shared" si="17"/>
        <v>3</v>
      </c>
      <c r="DE9" s="236">
        <f t="shared" si="34"/>
        <v>0.03</v>
      </c>
      <c r="DF9" s="232">
        <f t="shared" si="18"/>
        <v>1</v>
      </c>
      <c r="DG9" s="234">
        <f t="shared" si="35"/>
        <v>1E-3</v>
      </c>
      <c r="DH9" s="232">
        <f t="shared" si="19"/>
        <v>1</v>
      </c>
      <c r="DI9" s="41">
        <f t="shared" si="36"/>
        <v>1E-4</v>
      </c>
      <c r="DJ9" s="271">
        <f t="shared" si="20"/>
        <v>0</v>
      </c>
      <c r="DK9" s="602">
        <f t="shared" si="37"/>
        <v>0</v>
      </c>
      <c r="DL9" s="281">
        <f t="shared" si="21"/>
        <v>0</v>
      </c>
      <c r="DM9" s="644">
        <f t="shared" si="48"/>
        <v>5.6000000000000004E-7</v>
      </c>
      <c r="DN9" s="285">
        <f t="shared" si="22"/>
        <v>12.031099999999999</v>
      </c>
      <c r="DO9" s="675">
        <f t="shared" si="23"/>
        <v>12.031099999999999</v>
      </c>
      <c r="DP9" s="648">
        <f t="shared" si="38"/>
        <v>12.031100559999999</v>
      </c>
      <c r="DQ9" s="595"/>
      <c r="DR9" s="205" t="str">
        <f>IF($DN$9=$DN$3,$CV$9,"")</f>
        <v/>
      </c>
      <c r="DS9" s="4" t="str">
        <f>IF($DN$9=$DN$4,$CV$9,"")</f>
        <v/>
      </c>
      <c r="DT9" s="4" t="str">
        <f>IF($DN$9=$DN$5,$CV$9,"")</f>
        <v/>
      </c>
      <c r="DU9" s="4" t="str">
        <f>IF($DN$9=$DN$6,$CV$9,"")</f>
        <v/>
      </c>
      <c r="DV9" s="4" t="str">
        <f>IF($DN$9=$DN$7,$CV$9,"")</f>
        <v/>
      </c>
      <c r="DW9" s="4" t="str">
        <f>IF($DN$9=$DN$8,$CV$9,"")</f>
        <v/>
      </c>
      <c r="DX9" s="208"/>
      <c r="DY9" s="4" t="str">
        <f>IF($DN$9=$DN$10,$CV$9,"")</f>
        <v/>
      </c>
      <c r="DZ9" s="4" t="str">
        <f>IF($DN$9=$DN$11,$CV$9,"")</f>
        <v/>
      </c>
      <c r="EA9" s="4" t="str">
        <f>IF($DN$9=$DN$12,$CV$9,"")</f>
        <v/>
      </c>
      <c r="EB9" s="4" t="str">
        <f>IF($DN$9=$DN$13,$CV$9,"")</f>
        <v/>
      </c>
      <c r="EC9" s="4" t="str">
        <f>IF($DN$9=$DN$14,$CV$9,"")</f>
        <v/>
      </c>
      <c r="ED9" s="4" t="str">
        <f>IF($DN$9=$DN$15,$CV$9,"")</f>
        <v/>
      </c>
      <c r="EE9" s="4" t="str">
        <f>IF($DN$9=$DN$16,$CV$9,"")</f>
        <v/>
      </c>
      <c r="EF9" s="4" t="str">
        <f>IF($DN$9=$DN$17,$CV$9,"")</f>
        <v/>
      </c>
      <c r="EG9" s="225" t="str">
        <f>IF($DN$9=$DN$18,$CV$9,"")</f>
        <v/>
      </c>
      <c r="EH9" s="215">
        <f>$R$8</f>
        <v>4</v>
      </c>
      <c r="EI9" s="205" t="str">
        <f>IF($DR$9="","",$FT$9)</f>
        <v/>
      </c>
      <c r="EJ9" s="4" t="str">
        <f>IF($DS$9="","",$FU$9)</f>
        <v/>
      </c>
      <c r="EK9" s="4" t="str">
        <f>IF($DT$9="","",$FV$9)</f>
        <v/>
      </c>
      <c r="EL9" s="4" t="str">
        <f>IF($DU$9="","",$FW$9)</f>
        <v/>
      </c>
      <c r="EM9" s="4" t="str">
        <f>IF($DV$9="","",$FX$9)</f>
        <v/>
      </c>
      <c r="EN9" s="4" t="str">
        <f>IF($DW$9="","",$FY$9)</f>
        <v/>
      </c>
      <c r="EO9" s="208"/>
      <c r="EP9" s="4" t="str">
        <f>IF($DY$9="","",$GA$9)</f>
        <v/>
      </c>
      <c r="EQ9" s="4" t="str">
        <f>IF($DZ$9="","",$GB$9)</f>
        <v/>
      </c>
      <c r="ER9" s="4" t="str">
        <f>IF($EA$9="","",$GC$9)</f>
        <v/>
      </c>
      <c r="ES9" s="4" t="str">
        <f>IF($EB$9="","",$GD$9)</f>
        <v/>
      </c>
      <c r="ET9" s="4" t="str">
        <f>IF($EC$9="","",$GE$9)</f>
        <v/>
      </c>
      <c r="EU9" s="4" t="str">
        <f>IF($ED$9="","",$GF$9)</f>
        <v/>
      </c>
      <c r="EV9" s="4" t="str">
        <f>IF($EE$9="","",$GG$9)</f>
        <v/>
      </c>
      <c r="EW9" s="4" t="str">
        <f>IF($EF$9="","",$GH$9)</f>
        <v/>
      </c>
      <c r="EX9" s="225" t="str">
        <f>IF($EG$9="","",$GI$9)</f>
        <v/>
      </c>
      <c r="EY9" s="230">
        <f>COUNTIF($EI$9:$EX$9,$EH$9)</f>
        <v>0</v>
      </c>
      <c r="FA9" s="130">
        <f t="shared" si="24"/>
        <v>4</v>
      </c>
      <c r="FB9" s="13" t="str">
        <f t="shared" si="25"/>
        <v>Igor Kononov</v>
      </c>
      <c r="FC9" s="129">
        <f t="shared" si="39"/>
        <v>2</v>
      </c>
      <c r="FD9" s="129">
        <f t="shared" si="26"/>
        <v>0</v>
      </c>
      <c r="FE9" s="504">
        <v>0</v>
      </c>
      <c r="FF9" s="129">
        <f t="shared" si="40"/>
        <v>1</v>
      </c>
      <c r="FG9" s="483">
        <f t="shared" si="27"/>
        <v>14.031100559999999</v>
      </c>
      <c r="FH9" s="483">
        <f t="shared" si="41"/>
        <v>14.031100559999999</v>
      </c>
      <c r="FI9" s="176">
        <f t="shared" si="42"/>
        <v>27.01403110056</v>
      </c>
      <c r="FJ9" s="484">
        <f t="shared" si="28"/>
        <v>27.01403110056</v>
      </c>
      <c r="FK9" s="16">
        <f t="shared" si="29"/>
        <v>4</v>
      </c>
      <c r="FL9" s="710">
        <v>7</v>
      </c>
      <c r="FM9" s="710">
        <f t="shared" si="43"/>
        <v>14</v>
      </c>
      <c r="FN9" s="512"/>
      <c r="FO9" s="624" t="str">
        <f t="shared" si="44"/>
        <v>Gunter Bauer</v>
      </c>
      <c r="FP9" s="679">
        <f t="shared" si="47"/>
        <v>9</v>
      </c>
      <c r="FQ9" s="13">
        <f t="shared" si="30"/>
        <v>0</v>
      </c>
      <c r="FS9" s="215">
        <f>$R$8</f>
        <v>4</v>
      </c>
      <c r="FT9" s="205">
        <f>IF($AB$31&gt;$AB$28,$FS$3,IF($AB$28&gt;$AB$31,$FS$9,""))</f>
        <v>4</v>
      </c>
      <c r="FU9" s="4">
        <f>IF($AQ$17&gt;$AQ$18,$FS$4,IF($AQ$18&gt;$AQ$17,$FS$9,""))</f>
        <v>3</v>
      </c>
      <c r="FV9" s="4">
        <f>IF($M$39&gt;$M$38,$FS$5,IF($M$38&gt;$M$39,$FS$9,""))</f>
        <v>4</v>
      </c>
      <c r="FW9" s="4">
        <f>IF($AB$25&gt;$AB$27,$FS$6,IF($AB$27&gt;$AB$25,$FS$9,""))</f>
        <v>4</v>
      </c>
      <c r="FX9" s="4">
        <f>IF($M$16&gt;$M$17,$FS$7,IF($M$17&gt;$M$16,$FS$9,""))</f>
        <v>4</v>
      </c>
      <c r="FY9" s="4">
        <f>IF($M$18&gt;$M$17,$FS$8,IF($M$17&gt;$M$18,$FS$9,""))</f>
        <v>4</v>
      </c>
      <c r="FZ9" s="208"/>
      <c r="GA9" s="4">
        <f>IF($M$17&gt;$M$19,$FS$9,IF($M$19&gt;$M$17,$FS$10,""))</f>
        <v>4</v>
      </c>
      <c r="GB9" s="4">
        <f>IF($AQ$18&gt;$AQ$16,$FS$9,IF($AQ$16&gt;$AQ$18,$FS$11,""))</f>
        <v>1</v>
      </c>
      <c r="GC9" s="4">
        <f>IF($AB$27&gt;$AB$26,$FS$9,IF($AB$26&gt;$AB$27,$FS$12,""))</f>
        <v>4</v>
      </c>
      <c r="GD9" s="4">
        <f>IF($M$38&gt;$M$36,$FS$9,IF($M$36&gt;$M$38,$FS$13,""))</f>
        <v>4</v>
      </c>
      <c r="GE9" s="4">
        <f>IF($AB$28&gt;$AB$29,$FS$9,IF($AB$29&gt;$AB$28,$FS$14,""))</f>
        <v>4</v>
      </c>
      <c r="GF9" s="4">
        <f>IF($AB$27&gt;$AB$24,$FS$9,IF($AB$24&gt;$AB$27,$FS$15,""))</f>
        <v>4</v>
      </c>
      <c r="GG9" s="4">
        <f>IF($AB$28&gt;$AB$30,$FS$9,IF($AB$30&gt;$AB$28,$FS$16,""))</f>
        <v>4</v>
      </c>
      <c r="GH9" s="4">
        <f>IF($M$38&gt;$M$37,$FS$9,IF($M$37&gt;$M$38,$FS$17,""))</f>
        <v>2</v>
      </c>
      <c r="GI9" s="211">
        <f>IF($AQ$18&gt;$AQ$19,$FS$9,IF($AQ$19&gt;$AQ$18,$FS$18,""))</f>
        <v>4</v>
      </c>
      <c r="GK9" s="8">
        <v>7</v>
      </c>
      <c r="GL9" s="205"/>
      <c r="GM9" s="4"/>
      <c r="GN9" s="4"/>
      <c r="GO9" s="4"/>
      <c r="GP9" s="225"/>
      <c r="GQ9" s="230">
        <f t="shared" si="46"/>
        <v>0</v>
      </c>
      <c r="GR9" s="601">
        <f t="shared" si="45"/>
        <v>0</v>
      </c>
      <c r="GX9" s="1179"/>
      <c r="GY9" s="1179"/>
      <c r="GZ9" s="1179"/>
      <c r="HA9" s="1179"/>
      <c r="HH9" s="1179"/>
      <c r="IU9" s="1151" t="s">
        <v>213</v>
      </c>
      <c r="IV9" s="1152"/>
      <c r="IW9" s="1152"/>
      <c r="IX9" s="1152"/>
      <c r="IY9" s="1152"/>
      <c r="IZ9" s="1152"/>
      <c r="JA9" s="1152"/>
      <c r="JB9" s="1152"/>
      <c r="JC9" s="1152"/>
      <c r="JD9" s="1152"/>
      <c r="JE9" s="1152"/>
      <c r="JF9" s="1152"/>
      <c r="JG9" s="1152"/>
      <c r="JH9" s="1153"/>
    </row>
    <row r="10" spans="1:268" ht="12.75" customHeight="1" thickBot="1">
      <c r="I10" s="326"/>
      <c r="J10" s="326"/>
      <c r="K10" s="326"/>
      <c r="L10" s="326"/>
      <c r="M10" s="326"/>
      <c r="N10" s="326"/>
      <c r="O10" s="324"/>
      <c r="P10" s="298"/>
      <c r="Q10" s="343">
        <v>17</v>
      </c>
      <c r="R10" s="309">
        <f>IF(S10="","",VLOOKUP(S10,Draw!$H$3:$I$20,2,FALSE))</f>
        <v>17</v>
      </c>
      <c r="S10" s="752" t="str">
        <f>Draw!H19</f>
        <v>Simon Reitsma</v>
      </c>
      <c r="T10" s="1003"/>
      <c r="U10" s="538"/>
      <c r="V10" s="539"/>
      <c r="W10" s="313">
        <f>IF($HB$12&lt;W1,"",VLOOKUP(W$1,$HA$12:$HC$91,3,FALSE))</f>
        <v>0</v>
      </c>
      <c r="X10" s="314">
        <f>IF($HB$12&lt;X1,"",VLOOKUP(X$1,$HA$12:$HC$91,3,FALSE))</f>
        <v>0</v>
      </c>
      <c r="Y10" s="314">
        <f>IF($HB$12&lt;Y1,"",VLOOKUP(Y$1,$HA$12:$HC$91,3,FALSE))</f>
        <v>0</v>
      </c>
      <c r="Z10" s="314">
        <f>IF($HB$12&lt;Z1,"",VLOOKUP(Z$1,$HA$12:$HC$91,3,FALSE))</f>
        <v>0</v>
      </c>
      <c r="AA10" s="315">
        <f>IF($HB$12&lt;AA1,"",VLOOKUP(AA$1,$HA$12:$HC$91,3,FALSE))</f>
        <v>0</v>
      </c>
      <c r="AB10" s="310">
        <f t="shared" si="2"/>
        <v>0</v>
      </c>
      <c r="AC10" s="311">
        <f t="shared" si="0"/>
        <v>16</v>
      </c>
      <c r="AD10" s="269"/>
      <c r="AE10" s="298"/>
      <c r="AF10" s="343">
        <v>18</v>
      </c>
      <c r="AG10" s="309">
        <f>IF(AH10="","",VLOOKUP(AH10,Draw!$H$3:$I$20,2,FALSE))</f>
        <v>18</v>
      </c>
      <c r="AH10" s="752" t="str">
        <f>Draw!H20</f>
        <v>Max Niedermaier</v>
      </c>
      <c r="AI10" s="1003"/>
      <c r="AJ10" s="538"/>
      <c r="AK10" s="539"/>
      <c r="AL10" s="313" t="str">
        <f>IF($HL$12&lt;AL1,"",VLOOKUP(AL$1,$HK$12:$HM$91,3,FALSE))</f>
        <v/>
      </c>
      <c r="AM10" s="314" t="str">
        <f>IF($HL$12&lt;AM1,"",VLOOKUP(AM$1,$HK$12:$HM$91,3,FALSE))</f>
        <v/>
      </c>
      <c r="AN10" s="314" t="str">
        <f>IF($HL$12&lt;AN1,"",VLOOKUP(AN$1,$HK$12:$HM$91,3,FALSE))</f>
        <v/>
      </c>
      <c r="AO10" s="314" t="str">
        <f>IF($HL$12&lt;AO1,"",VLOOKUP(AO$1,$HK$12:$HM$91,3,FALSE))</f>
        <v/>
      </c>
      <c r="AP10" s="315" t="str">
        <f>IF($HL$12&lt;AP1,"",VLOOKUP(AP$1,$HK$12:$HM$91,3,FALSE))</f>
        <v/>
      </c>
      <c r="AQ10" s="310" t="str">
        <f t="shared" si="1"/>
        <v/>
      </c>
      <c r="AR10" s="311">
        <f t="shared" si="3"/>
        <v>17</v>
      </c>
      <c r="AT10" s="1134" t="s">
        <v>32</v>
      </c>
      <c r="AU10" s="1135"/>
      <c r="AV10" s="1135"/>
      <c r="AW10" s="1135"/>
      <c r="AX10" s="1135"/>
      <c r="AY10" s="1135"/>
      <c r="AZ10" s="1135"/>
      <c r="BA10" s="1135"/>
      <c r="BB10" s="1136"/>
      <c r="BD10" s="1131"/>
      <c r="BE10" s="1132"/>
      <c r="BF10" s="1133"/>
      <c r="BG10"/>
      <c r="BH10" s="391"/>
      <c r="BI10" s="133"/>
      <c r="BK10" s="1120"/>
      <c r="BY10" s="8"/>
      <c r="CA10" s="16"/>
      <c r="CC10" s="110">
        <f t="shared" si="4"/>
        <v>8</v>
      </c>
      <c r="CD10" s="111" t="str">
        <f t="shared" si="31"/>
        <v/>
      </c>
      <c r="CE10" s="112">
        <v>8</v>
      </c>
      <c r="CF10" s="122">
        <f t="shared" si="5"/>
        <v>16</v>
      </c>
      <c r="CG10" s="127"/>
      <c r="CH10" s="113" t="str">
        <f t="shared" si="32"/>
        <v>Stefan Svensson</v>
      </c>
      <c r="CI10" s="279">
        <f t="shared" si="6"/>
        <v>8.0121099999999998</v>
      </c>
      <c r="CJ10" s="114">
        <f t="shared" si="7"/>
        <v>2</v>
      </c>
      <c r="CK10" s="115">
        <f t="shared" si="8"/>
        <v>1</v>
      </c>
      <c r="CL10" s="115">
        <f t="shared" si="9"/>
        <v>3</v>
      </c>
      <c r="CM10" s="115">
        <f t="shared" si="10"/>
        <v>2</v>
      </c>
      <c r="CN10" s="116">
        <f t="shared" si="11"/>
        <v>0</v>
      </c>
      <c r="CO10" s="117">
        <f t="shared" si="33"/>
        <v>8</v>
      </c>
      <c r="CP10" s="118"/>
      <c r="CQ10" s="249"/>
      <c r="CR10" s="27">
        <f t="shared" si="12"/>
        <v>16</v>
      </c>
      <c r="CS10" s="258">
        <f>RANK(DP10,$DP$3:$DP$20)+COUNTIF(DP$3:DP10,DP10)-1</f>
        <v>7</v>
      </c>
      <c r="CT10" s="32">
        <f t="shared" si="13"/>
        <v>8</v>
      </c>
      <c r="CU10" s="423">
        <f>VLOOKUP(CW10,Draw!$B$3:$C$42,2,FALSE)</f>
        <v>7</v>
      </c>
      <c r="CV10" s="185">
        <f>VLOOKUP(CW10,Draw!$B$3:$C$42,2,FALSE)</f>
        <v>7</v>
      </c>
      <c r="CW10" s="33" t="str">
        <f t="shared" si="14"/>
        <v>Gunter Bauer</v>
      </c>
      <c r="CX10" s="4">
        <f t="shared" si="15"/>
        <v>2</v>
      </c>
      <c r="CY10" s="4">
        <f t="shared" si="15"/>
        <v>2</v>
      </c>
      <c r="CZ10" s="4">
        <f t="shared" si="15"/>
        <v>1</v>
      </c>
      <c r="DA10" s="4">
        <f t="shared" si="15"/>
        <v>2</v>
      </c>
      <c r="DB10" s="34">
        <f t="shared" si="15"/>
        <v>2</v>
      </c>
      <c r="DC10" s="250">
        <f t="shared" si="16"/>
        <v>9</v>
      </c>
      <c r="DD10" s="243">
        <f t="shared" si="17"/>
        <v>0</v>
      </c>
      <c r="DE10" s="236">
        <f t="shared" si="34"/>
        <v>0</v>
      </c>
      <c r="DF10" s="232">
        <f t="shared" si="18"/>
        <v>4</v>
      </c>
      <c r="DG10" s="234">
        <f t="shared" si="35"/>
        <v>4.0000000000000001E-3</v>
      </c>
      <c r="DH10" s="232">
        <f t="shared" si="19"/>
        <v>1</v>
      </c>
      <c r="DI10" s="41">
        <f t="shared" si="36"/>
        <v>1E-4</v>
      </c>
      <c r="DJ10" s="271">
        <f t="shared" si="20"/>
        <v>0</v>
      </c>
      <c r="DK10" s="602">
        <f t="shared" si="37"/>
        <v>0</v>
      </c>
      <c r="DL10" s="281">
        <f t="shared" si="21"/>
        <v>0</v>
      </c>
      <c r="DM10" s="643">
        <f t="shared" si="48"/>
        <v>5.3000000000000001E-7</v>
      </c>
      <c r="DN10" s="284">
        <f t="shared" si="22"/>
        <v>9.0040999999999993</v>
      </c>
      <c r="DO10" s="284">
        <f t="shared" si="23"/>
        <v>9.0040999999999993</v>
      </c>
      <c r="DP10" s="647">
        <f t="shared" si="38"/>
        <v>9.0041005299999988</v>
      </c>
      <c r="DQ10" s="594"/>
      <c r="DR10" s="205" t="str">
        <f>IF($DN$10=$DN$3,$CV$10,"")</f>
        <v/>
      </c>
      <c r="DS10" s="4" t="str">
        <f>IF($DN$10=$DN$4,$CV$10,"")</f>
        <v/>
      </c>
      <c r="DT10" s="4" t="str">
        <f>IF($DN$10=$DN$5,$CV$10,"")</f>
        <v/>
      </c>
      <c r="DU10" s="4" t="str">
        <f>IF($DN$10=$DN$6,$CV$10,"")</f>
        <v/>
      </c>
      <c r="DV10" s="4" t="str">
        <f>IF($DN$10=$DN$7,$CV$10,"")</f>
        <v/>
      </c>
      <c r="DW10" s="4" t="str">
        <f>IF($DN$10=$DN$8,$CV$10,"")</f>
        <v/>
      </c>
      <c r="DX10" s="4" t="str">
        <f>IF($DN$10=$DN$9,$CV$10,"")</f>
        <v/>
      </c>
      <c r="DY10" s="208"/>
      <c r="DZ10" s="4" t="str">
        <f>IF($DN$10=$DN$11,$CV$10,"")</f>
        <v/>
      </c>
      <c r="EA10" s="4" t="str">
        <f>IF($DN$10=$DN$12,$CV$10,"")</f>
        <v/>
      </c>
      <c r="EB10" s="4" t="str">
        <f>IF($DN$10=$DN$13,$CV$10,"")</f>
        <v/>
      </c>
      <c r="EC10" s="4" t="str">
        <f>IF($DN$10=$DN$14,$CV$10,"")</f>
        <v/>
      </c>
      <c r="ED10" s="4" t="str">
        <f>IF($DN$10=$DN$15,$CV$10,"")</f>
        <v/>
      </c>
      <c r="EE10" s="4" t="str">
        <f>IF($DN$10=$DN$16,$CV$10,"")</f>
        <v/>
      </c>
      <c r="EF10" s="4" t="str">
        <f>IF($DN$10=$DN$17,$CV$10,"")</f>
        <v/>
      </c>
      <c r="EG10" s="225" t="str">
        <f>IF($DN$10=$DN$18,$CV$10,"")</f>
        <v/>
      </c>
      <c r="EH10" s="215">
        <f>$R$9</f>
        <v>7</v>
      </c>
      <c r="EI10" s="205" t="str">
        <f>IF($DR$10="","",$FT$10)</f>
        <v/>
      </c>
      <c r="EJ10" s="4" t="str">
        <f>IF($DS$10="","",$FU$10)</f>
        <v/>
      </c>
      <c r="EK10" s="4" t="str">
        <f>IF($DT$10="","",$FV$10)</f>
        <v/>
      </c>
      <c r="EL10" s="4" t="str">
        <f>IF($DU$10="","",$FW$10)</f>
        <v/>
      </c>
      <c r="EM10" s="4" t="str">
        <f>IF($DV$10="","",$FX$10)</f>
        <v/>
      </c>
      <c r="EN10" s="4" t="str">
        <f>IF($DW$10="","",$FY$10)</f>
        <v/>
      </c>
      <c r="EO10" s="4" t="str">
        <f>IF($DX$10="","",$FZ$10)</f>
        <v/>
      </c>
      <c r="EP10" s="208"/>
      <c r="EQ10" s="4" t="str">
        <f>IF($DZ$10="","",$GB$10)</f>
        <v/>
      </c>
      <c r="ER10" s="4" t="str">
        <f>IF($EA$10="","",$GC$10)</f>
        <v/>
      </c>
      <c r="ES10" s="4" t="str">
        <f>IF($EB$10="","",$GD$10)</f>
        <v/>
      </c>
      <c r="ET10" s="4" t="str">
        <f>IF($EC$10="","",$GE$10)</f>
        <v/>
      </c>
      <c r="EU10" s="4" t="str">
        <f>IF($ED$10="","",$GF$10)</f>
        <v/>
      </c>
      <c r="EV10" s="4" t="str">
        <f>IF($EE$10="","",$GG$10)</f>
        <v/>
      </c>
      <c r="EW10" s="4" t="str">
        <f>IF($EF$10="","",$GH$10)</f>
        <v/>
      </c>
      <c r="EX10" s="225" t="str">
        <f>IF($EG$10="","",$GI$10)</f>
        <v/>
      </c>
      <c r="EY10" s="230">
        <f>COUNTIF($EI$10:$EX$10,$EH$10)</f>
        <v>0</v>
      </c>
      <c r="FA10" s="130">
        <f t="shared" si="24"/>
        <v>7</v>
      </c>
      <c r="FB10" s="13" t="str">
        <f t="shared" si="25"/>
        <v>Gunter Bauer</v>
      </c>
      <c r="FC10" s="129">
        <f t="shared" si="39"/>
        <v>0</v>
      </c>
      <c r="FD10" s="129">
        <f t="shared" si="26"/>
        <v>0</v>
      </c>
      <c r="FE10" s="504">
        <v>0</v>
      </c>
      <c r="FF10" s="129">
        <f t="shared" si="40"/>
        <v>0</v>
      </c>
      <c r="FG10" s="483">
        <f t="shared" si="27"/>
        <v>9.0041005299999988</v>
      </c>
      <c r="FH10" s="483">
        <f t="shared" si="41"/>
        <v>9.0041005299999988</v>
      </c>
      <c r="FI10" s="176">
        <f t="shared" si="42"/>
        <v>9.0041005299999988</v>
      </c>
      <c r="FJ10" s="484">
        <f t="shared" si="28"/>
        <v>9.0041005299999988</v>
      </c>
      <c r="FK10" s="16">
        <f t="shared" si="29"/>
        <v>7</v>
      </c>
      <c r="FL10" s="710">
        <v>8</v>
      </c>
      <c r="FM10" s="710">
        <f t="shared" si="43"/>
        <v>9</v>
      </c>
      <c r="FN10" s="512"/>
      <c r="FO10" s="420" t="str">
        <f t="shared" si="44"/>
        <v>Stefan Svensson</v>
      </c>
      <c r="FP10" s="680">
        <f t="shared" si="47"/>
        <v>8</v>
      </c>
      <c r="FQ10" s="13">
        <f t="shared" si="30"/>
        <v>0</v>
      </c>
      <c r="FS10" s="215">
        <f>$R$9</f>
        <v>7</v>
      </c>
      <c r="FT10" s="205">
        <f>IF($AQ$12&gt;$AQ$13,$FS$3,IF($AQ$13&gt;$AQ$12,$FS$10,""))</f>
        <v>7</v>
      </c>
      <c r="FU10" s="4">
        <f>IF($AB$32&gt;$AB$34,$FS$4,IF($AB$34&gt;$AB$32,$FS$10,""))</f>
        <v>3</v>
      </c>
      <c r="FV10" s="4">
        <f>IF($AB$22&gt;$AB$20,$FS$5,IF($AB$20&gt;$AB$22,$FS$10,""))</f>
        <v>10</v>
      </c>
      <c r="FW10" s="4">
        <f>IF($M$40&gt;$M$41,$FS$6,IF($M$41&gt;$M$40,$FS$10,""))</f>
        <v>7</v>
      </c>
      <c r="FX10" s="4">
        <f>IF($M$16&gt;$M$19,$FS$7,IF($M$19&gt;$M$16,$FS$10,""))</f>
        <v>7</v>
      </c>
      <c r="FY10" s="4">
        <f>IF($M$18&gt;$M$19,$FS$8,IF($M$19&gt;$M$18,$FS$10,""))</f>
        <v>7</v>
      </c>
      <c r="FZ10" s="4">
        <f>IF($M$17&gt;$M$19,$FS$9,IF($M$19&gt;$M$17,$FS$10,""))</f>
        <v>4</v>
      </c>
      <c r="GA10" s="208"/>
      <c r="GB10" s="4">
        <f>IF($AB$20&gt;$AB$21,$FS$10,IF($AB$21&gt;$AB$20,$FS$11,""))</f>
        <v>1</v>
      </c>
      <c r="GC10" s="4">
        <f>IF($AQ$13&gt;$AQ$15,$FS$10,IF($AQ$15&gt;$AQ$13,$FS$12,""))</f>
        <v>7</v>
      </c>
      <c r="GD10" s="4">
        <f>IF($AB$34&gt;$AB$35,$FS$10,IF($AB$35&gt;$AB$34,$FS$13,""))</f>
        <v>7</v>
      </c>
      <c r="GE10" s="4">
        <f>IF($M$41&gt;$M$42,$FS$10,IF($M$42&gt;$M$41,$FS$14,""))</f>
        <v>11</v>
      </c>
      <c r="GF10" s="4">
        <f>IF($AB$34&gt;$AB$33,$FS$10,IF($AB$33&gt;$AB$34,$FS$15,""))</f>
        <v>7</v>
      </c>
      <c r="GG10" s="4">
        <f>IF($AB$20&gt;$AB$23,$FS$10,IF($AB$23&gt;$AB$20,$FS$16,""))</f>
        <v>7</v>
      </c>
      <c r="GH10" s="4">
        <f>IF($AQ$13&gt;$AQ$14,$FS$10,IF($AQ$14&gt;$AQ$13,$FS$17,""))</f>
        <v>2</v>
      </c>
      <c r="GI10" s="211">
        <f>IF($M$41&gt;$M$43,$FS$10,IF($M$43&gt;$M$41,$FS$18,""))</f>
        <v>7</v>
      </c>
      <c r="GK10" s="8">
        <v>8</v>
      </c>
      <c r="GL10" s="206"/>
      <c r="GM10" s="38"/>
      <c r="GN10" s="38"/>
      <c r="GO10" s="38"/>
      <c r="GP10" s="295"/>
      <c r="GQ10" s="231">
        <f t="shared" si="46"/>
        <v>0</v>
      </c>
      <c r="GR10" s="601">
        <f t="shared" si="45"/>
        <v>0</v>
      </c>
      <c r="GX10" s="1179"/>
      <c r="GY10" s="1179"/>
      <c r="GZ10" s="1179"/>
      <c r="HA10" s="1179"/>
      <c r="HH10" s="1179"/>
      <c r="HO10" s="1186" t="s">
        <v>78</v>
      </c>
      <c r="HP10" s="323"/>
      <c r="HQ10" s="323"/>
      <c r="HR10" s="323"/>
      <c r="HS10" s="323"/>
      <c r="HT10" s="323"/>
      <c r="HV10" s="1184" t="s">
        <v>3</v>
      </c>
      <c r="HY10" s="1186" t="s">
        <v>88</v>
      </c>
      <c r="HZ10" s="323"/>
      <c r="IA10" s="323"/>
      <c r="IB10" s="323"/>
      <c r="IC10" s="323"/>
      <c r="ID10" s="1184" t="s">
        <v>91</v>
      </c>
      <c r="IF10" s="1184" t="s">
        <v>3</v>
      </c>
      <c r="II10" s="1186" t="s">
        <v>88</v>
      </c>
      <c r="IJ10" s="323"/>
      <c r="IK10" s="323"/>
      <c r="IL10" s="323"/>
      <c r="IM10" s="323"/>
      <c r="IN10" s="1184" t="s">
        <v>91</v>
      </c>
      <c r="IP10" s="1184" t="s">
        <v>3</v>
      </c>
      <c r="IU10" s="1154"/>
      <c r="IV10" s="1155"/>
      <c r="IW10" s="1155"/>
      <c r="IX10" s="1155"/>
      <c r="IY10" s="1155"/>
      <c r="IZ10" s="1155"/>
      <c r="JA10" s="1155"/>
      <c r="JB10" s="1155"/>
      <c r="JC10" s="1155"/>
      <c r="JD10" s="1155"/>
      <c r="JE10" s="1155"/>
      <c r="JF10" s="1155"/>
      <c r="JG10" s="1155"/>
      <c r="JH10" s="1156"/>
    </row>
    <row r="11" spans="1:268" ht="12.75" customHeight="1" thickBot="1">
      <c r="A11" s="17" t="s">
        <v>1</v>
      </c>
      <c r="B11" s="513"/>
      <c r="C11" s="334" t="s">
        <v>21</v>
      </c>
      <c r="D11" s="333" t="s">
        <v>2</v>
      </c>
      <c r="E11" s="1009" t="s">
        <v>313</v>
      </c>
      <c r="F11" s="1008" t="s">
        <v>313</v>
      </c>
      <c r="G11" s="1226" t="s">
        <v>81</v>
      </c>
      <c r="H11" s="1233"/>
      <c r="I11" s="1233"/>
      <c r="J11" s="1233"/>
      <c r="K11" s="1224"/>
      <c r="L11" s="506" t="s">
        <v>50</v>
      </c>
      <c r="M11" s="275" t="s">
        <v>0</v>
      </c>
      <c r="N11" s="267" t="s">
        <v>12</v>
      </c>
      <c r="P11" s="17" t="s">
        <v>1</v>
      </c>
      <c r="Q11" s="513"/>
      <c r="R11" s="105"/>
      <c r="S11" s="9" t="s">
        <v>2</v>
      </c>
      <c r="T11" s="1009" t="s">
        <v>313</v>
      </c>
      <c r="U11" s="1008" t="s">
        <v>313</v>
      </c>
      <c r="V11" s="1226" t="s">
        <v>81</v>
      </c>
      <c r="W11" s="1233"/>
      <c r="X11" s="1233"/>
      <c r="Y11" s="1233"/>
      <c r="Z11" s="1224"/>
      <c r="AA11" s="506" t="s">
        <v>50</v>
      </c>
      <c r="AB11" s="275" t="s">
        <v>0</v>
      </c>
      <c r="AC11" s="267" t="s">
        <v>12</v>
      </c>
      <c r="AE11" s="17" t="s">
        <v>1</v>
      </c>
      <c r="AF11" s="513"/>
      <c r="AG11" s="105"/>
      <c r="AH11" s="9" t="s">
        <v>2</v>
      </c>
      <c r="AI11" s="1009" t="s">
        <v>313</v>
      </c>
      <c r="AJ11" s="1008" t="s">
        <v>313</v>
      </c>
      <c r="AK11" s="1226" t="s">
        <v>81</v>
      </c>
      <c r="AL11" s="1233"/>
      <c r="AM11" s="1233"/>
      <c r="AN11" s="1233"/>
      <c r="AO11" s="1224"/>
      <c r="AP11" s="506" t="s">
        <v>50</v>
      </c>
      <c r="AQ11" s="19" t="s">
        <v>0</v>
      </c>
      <c r="AR11" s="267" t="s">
        <v>12</v>
      </c>
      <c r="AT11" s="1065" t="s">
        <v>3</v>
      </c>
      <c r="AU11" s="1067"/>
      <c r="AV11" s="62" t="s">
        <v>2</v>
      </c>
      <c r="AW11" s="10">
        <v>1</v>
      </c>
      <c r="AX11" s="11">
        <v>2</v>
      </c>
      <c r="AY11" s="11">
        <v>3</v>
      </c>
      <c r="AZ11" s="11">
        <v>4</v>
      </c>
      <c r="BA11" s="11">
        <v>5</v>
      </c>
      <c r="BB11" s="99" t="s">
        <v>0</v>
      </c>
      <c r="BD11" s="142" t="s">
        <v>4</v>
      </c>
      <c r="BE11" s="143" t="s">
        <v>2</v>
      </c>
      <c r="BF11" s="144" t="s">
        <v>0</v>
      </c>
      <c r="BG11"/>
      <c r="BH11" s="391"/>
      <c r="BI11" s="8" t="s">
        <v>331</v>
      </c>
      <c r="BJ11" s="16" t="s">
        <v>158</v>
      </c>
      <c r="BK11" s="1121"/>
      <c r="BL11" s="16" t="s">
        <v>8</v>
      </c>
      <c r="BM11" s="16" t="s">
        <v>9</v>
      </c>
      <c r="BN11" s="16" t="s">
        <v>10</v>
      </c>
      <c r="BO11" s="16" t="s">
        <v>11</v>
      </c>
      <c r="BP11" s="16"/>
      <c r="BQ11" s="16" t="s">
        <v>8</v>
      </c>
      <c r="BR11" s="16" t="s">
        <v>9</v>
      </c>
      <c r="BS11" s="16" t="s">
        <v>10</v>
      </c>
      <c r="BT11" s="16" t="s">
        <v>11</v>
      </c>
      <c r="BU11" s="16"/>
      <c r="BV11" s="16" t="s">
        <v>8</v>
      </c>
      <c r="BW11" s="16" t="s">
        <v>9</v>
      </c>
      <c r="BX11" s="16" t="s">
        <v>10</v>
      </c>
      <c r="BY11" s="16" t="s">
        <v>11</v>
      </c>
      <c r="BZ11" s="16" t="s">
        <v>2</v>
      </c>
      <c r="CA11" s="16" t="s">
        <v>13</v>
      </c>
      <c r="CC11" s="47">
        <f t="shared" si="4"/>
        <v>9</v>
      </c>
      <c r="CD11" s="48" t="str">
        <f t="shared" si="31"/>
        <v/>
      </c>
      <c r="CE11" s="22">
        <v>9</v>
      </c>
      <c r="CF11" s="121">
        <f t="shared" si="5"/>
        <v>10</v>
      </c>
      <c r="CG11" s="126"/>
      <c r="CH11" s="75" t="str">
        <f t="shared" si="32"/>
        <v>Hans Weber</v>
      </c>
      <c r="CI11" s="278">
        <f t="shared" si="6"/>
        <v>6.0022099999999998</v>
      </c>
      <c r="CJ11" s="85">
        <f t="shared" si="7"/>
        <v>0</v>
      </c>
      <c r="CK11" s="70">
        <f t="shared" si="8"/>
        <v>2</v>
      </c>
      <c r="CL11" s="70">
        <f t="shared" si="9"/>
        <v>2</v>
      </c>
      <c r="CM11" s="70">
        <f t="shared" si="10"/>
        <v>1</v>
      </c>
      <c r="CN11" s="86">
        <f t="shared" si="11"/>
        <v>1</v>
      </c>
      <c r="CO11" s="79">
        <f t="shared" si="33"/>
        <v>6</v>
      </c>
      <c r="CP11" s="54"/>
      <c r="CQ11" s="249"/>
      <c r="CR11" s="27">
        <f t="shared" si="12"/>
        <v>10</v>
      </c>
      <c r="CS11" s="258">
        <f>RANK(DP11,$DP$3:$DP$20)+COUNTIF(DP$3:DP11,DP11)-1</f>
        <v>3</v>
      </c>
      <c r="CT11" s="32">
        <f t="shared" ref="CT11:CT18" si="49">AF2</f>
        <v>9</v>
      </c>
      <c r="CU11" s="424">
        <f>VLOOKUP(CW11,Draw!$B$3:$C$42,2,FALSE)</f>
        <v>1</v>
      </c>
      <c r="CV11" s="186">
        <f>VLOOKUP(CW11,Draw!$B$3:$C$42,2,FALSE)</f>
        <v>1</v>
      </c>
      <c r="CW11" s="36" t="str">
        <f t="shared" ref="CW11:CW18" si="50">AH2</f>
        <v>Daniil Ivanov</v>
      </c>
      <c r="CX11" s="4">
        <f t="shared" ref="CX11:DB18" si="51">AL2</f>
        <v>3</v>
      </c>
      <c r="CY11" s="4">
        <f t="shared" si="51"/>
        <v>3</v>
      </c>
      <c r="CZ11" s="4">
        <f t="shared" si="51"/>
        <v>3</v>
      </c>
      <c r="DA11" s="4">
        <f t="shared" si="51"/>
        <v>2</v>
      </c>
      <c r="DB11" s="34">
        <f t="shared" si="51"/>
        <v>2</v>
      </c>
      <c r="DC11" s="250">
        <f t="shared" si="16"/>
        <v>13</v>
      </c>
      <c r="DD11" s="243">
        <f t="shared" si="17"/>
        <v>3</v>
      </c>
      <c r="DE11" s="236">
        <f t="shared" si="34"/>
        <v>0.03</v>
      </c>
      <c r="DF11" s="232">
        <f t="shared" si="18"/>
        <v>2</v>
      </c>
      <c r="DG11" s="234">
        <f t="shared" si="35"/>
        <v>2E-3</v>
      </c>
      <c r="DH11" s="232">
        <f t="shared" si="19"/>
        <v>0</v>
      </c>
      <c r="DI11" s="41">
        <f t="shared" si="36"/>
        <v>0</v>
      </c>
      <c r="DJ11" s="271">
        <f t="shared" si="20"/>
        <v>0</v>
      </c>
      <c r="DK11" s="602">
        <f t="shared" si="37"/>
        <v>0</v>
      </c>
      <c r="DL11" s="281">
        <f t="shared" si="21"/>
        <v>0</v>
      </c>
      <c r="DM11" s="644">
        <f t="shared" si="48"/>
        <v>5.8999999999999996E-7</v>
      </c>
      <c r="DN11" s="285">
        <f t="shared" si="22"/>
        <v>13.032</v>
      </c>
      <c r="DO11" s="675">
        <f t="shared" si="23"/>
        <v>13.032</v>
      </c>
      <c r="DP11" s="648">
        <f t="shared" si="38"/>
        <v>13.032000590000001</v>
      </c>
      <c r="DQ11" s="595"/>
      <c r="DR11" s="205" t="str">
        <f>IF($DN$11=$DN$3,$CV$11,"")</f>
        <v/>
      </c>
      <c r="DS11" s="4" t="str">
        <f>IF($DN$11=$DN$4,$CV$11,"")</f>
        <v/>
      </c>
      <c r="DT11" s="4" t="str">
        <f>IF($DN$11=$DN$5,$CV$11,"")</f>
        <v/>
      </c>
      <c r="DU11" s="4" t="str">
        <f>IF($DN$11=$DN$6,$CV$11,"")</f>
        <v/>
      </c>
      <c r="DV11" s="4" t="str">
        <f>IF($DN$11=$DN$7,$CV$11,"")</f>
        <v/>
      </c>
      <c r="DW11" s="4" t="str">
        <f>IF($DN$11=$DN$8,$CV$11,"")</f>
        <v/>
      </c>
      <c r="DX11" s="4" t="str">
        <f>IF($DN$11=$DN$9,$CV$11,"")</f>
        <v/>
      </c>
      <c r="DY11" s="4" t="str">
        <f>IF($DN$11=$DN$10,$CV$11,"")</f>
        <v/>
      </c>
      <c r="DZ11" s="208"/>
      <c r="EA11" s="4" t="str">
        <f>IF($DN$11=$DN$12,$CV$11,"")</f>
        <v/>
      </c>
      <c r="EB11" s="4" t="str">
        <f>IF($DN$11=$DN$13,$CV$11,"")</f>
        <v/>
      </c>
      <c r="EC11" s="4" t="str">
        <f>IF($DN$11=$DN$14,$CV$11,"")</f>
        <v/>
      </c>
      <c r="ED11" s="4" t="str">
        <f>IF($DN$11=$DN$15,$CV$11,"")</f>
        <v/>
      </c>
      <c r="EE11" s="4" t="str">
        <f>IF($DN$11=$DN$16,$CV$11,"")</f>
        <v/>
      </c>
      <c r="EF11" s="4" t="str">
        <f>IF($DN$11=$DN$17,$CV$11,"")</f>
        <v/>
      </c>
      <c r="EG11" s="225" t="str">
        <f>IF($DN$11=$DN$18,$CV$11,"")</f>
        <v/>
      </c>
      <c r="EH11" s="215">
        <f>$AG$2</f>
        <v>1</v>
      </c>
      <c r="EI11" s="205" t="str">
        <f>IF($DR$11="","",$FT$11)</f>
        <v/>
      </c>
      <c r="EJ11" s="4" t="str">
        <f>IF($DS$11="","",$FU$11)</f>
        <v/>
      </c>
      <c r="EK11" s="4" t="str">
        <f>IF($DT$11="","",$FV$11)</f>
        <v/>
      </c>
      <c r="EL11" s="4" t="str">
        <f>IF($DU$11="","",$FW$11)</f>
        <v/>
      </c>
      <c r="EM11" s="4" t="str">
        <f>IF($DV$11="","",$FX$11)</f>
        <v/>
      </c>
      <c r="EN11" s="4" t="str">
        <f>IF($DW$11="","",$FY$11)</f>
        <v/>
      </c>
      <c r="EO11" s="4" t="str">
        <f>IF($DX$11="","",$FZ$11)</f>
        <v/>
      </c>
      <c r="EP11" s="4" t="str">
        <f>IF($DY$11="","",$GA$11)</f>
        <v/>
      </c>
      <c r="EQ11" s="208"/>
      <c r="ER11" s="4" t="str">
        <f>IF($EA$11="","",$GC$11)</f>
        <v/>
      </c>
      <c r="ES11" s="4" t="str">
        <f>IF($EB$11="","",$GD$11)</f>
        <v/>
      </c>
      <c r="ET11" s="4" t="str">
        <f>IF($EC$11="","",$GE$11)</f>
        <v/>
      </c>
      <c r="EU11" s="4" t="str">
        <f>IF($ED$11="","",$GF$11)</f>
        <v/>
      </c>
      <c r="EV11" s="4" t="str">
        <f>IF($EE$11="","",$GG$11)</f>
        <v/>
      </c>
      <c r="EW11" s="4" t="str">
        <f>IF($EF$11="","",$GH$11)</f>
        <v/>
      </c>
      <c r="EX11" s="225" t="str">
        <f>IF($EG$11="","",$GI$11)</f>
        <v/>
      </c>
      <c r="EY11" s="230">
        <f>COUNTIF($EI$11:$EX$11,$EH$11)</f>
        <v>0</v>
      </c>
      <c r="FA11" s="130">
        <f t="shared" si="24"/>
        <v>1</v>
      </c>
      <c r="FB11" s="13" t="str">
        <f t="shared" si="25"/>
        <v>Daniil Ivanov</v>
      </c>
      <c r="FC11" s="129">
        <f t="shared" si="39"/>
        <v>2</v>
      </c>
      <c r="FD11" s="129">
        <f t="shared" si="26"/>
        <v>2</v>
      </c>
      <c r="FE11" s="504">
        <v>0</v>
      </c>
      <c r="FF11" s="129">
        <f t="shared" si="40"/>
        <v>1</v>
      </c>
      <c r="FG11" s="483">
        <f t="shared" si="27"/>
        <v>17</v>
      </c>
      <c r="FH11" s="483">
        <f t="shared" si="41"/>
        <v>17</v>
      </c>
      <c r="FI11" s="176">
        <f t="shared" si="42"/>
        <v>29</v>
      </c>
      <c r="FJ11" s="484">
        <f t="shared" si="28"/>
        <v>29</v>
      </c>
      <c r="FK11" s="16">
        <f t="shared" si="29"/>
        <v>2</v>
      </c>
      <c r="FL11" s="710">
        <v>9</v>
      </c>
      <c r="FM11" s="710">
        <f t="shared" si="43"/>
        <v>17</v>
      </c>
      <c r="FN11" s="512"/>
      <c r="FO11" s="13" t="str">
        <f t="shared" si="44"/>
        <v>Hans Weber</v>
      </c>
      <c r="FP11" s="496">
        <f t="shared" si="47"/>
        <v>6</v>
      </c>
      <c r="FQ11" s="13">
        <f t="shared" si="30"/>
        <v>0</v>
      </c>
      <c r="FS11" s="215">
        <f>$AG$2</f>
        <v>1</v>
      </c>
      <c r="FT11" s="205">
        <f>IF($M$29&gt;$M$31,$FS$3,IF($M$31&gt;$M$29,$FS$11,""))</f>
        <v>1</v>
      </c>
      <c r="FU11" s="4">
        <f>IF($AQ$17&gt;$AQ$16,$FS$4,IF($AQ$16&gt;$AQ$17,$FS$11,""))</f>
        <v>3</v>
      </c>
      <c r="FV11" s="4">
        <f>IF($AB$22&gt;$AB$21,$FS$5,IF($AB$21&gt;$AB$22,$FS$11,""))</f>
        <v>1</v>
      </c>
      <c r="FW11" s="4">
        <f>IF($AB$42&gt;$AB$40,$FS$6,IF($AB$40&gt;$AB$42,$FS$11,""))</f>
        <v>1</v>
      </c>
      <c r="FX11" s="4">
        <f>IF($M$30&gt;$M$31,$FS$7,IF($M$31&gt;$M$30,$FS$11,""))</f>
        <v>1</v>
      </c>
      <c r="FY11" s="4">
        <f>IF($AB$41&gt;$AB$40,$FS$8,IF($AB$40&gt;$AB$41,$FS$11,""))</f>
        <v>1</v>
      </c>
      <c r="FZ11" s="4">
        <f>IF($AQ$18&gt;$AQ$16,$FS$9,IF($AQ$16&gt;$AQ$18,$FS$11,""))</f>
        <v>1</v>
      </c>
      <c r="GA11" s="4">
        <f>IF($AB$20&gt;$AB$21,$FS$10,IF($AB$21&gt;$AB$20,$FS$11,""))</f>
        <v>1</v>
      </c>
      <c r="GB11" s="208"/>
      <c r="GC11" s="4">
        <f>IF($M$22&gt;$M$20,$FS$11,IF($M$20&gt;$M$22,$FS$12,""))</f>
        <v>1</v>
      </c>
      <c r="GD11" s="4">
        <f>IF($M$22&gt;$M$21,$FS$11,IF($M$21&gt;$M$22,$FS$13,""))</f>
        <v>1</v>
      </c>
      <c r="GE11" s="4">
        <f>IF($M$22&gt;$M$23,$FS$11,IF($M$23&gt;$M$22,$FS$14,""))</f>
        <v>1</v>
      </c>
      <c r="GF11" s="4">
        <f>IF($M$31&gt;$M$28,$FS$11,IF($M$28&gt;$M$31,$FS$15,""))</f>
        <v>1</v>
      </c>
      <c r="GG11" s="4">
        <f>IF($AB$21&gt;$AB$23,$FS$11,IF($AB$23&gt;$AB$21,$FS$16,""))</f>
        <v>1</v>
      </c>
      <c r="GH11" s="4">
        <f>IF($AB$40&gt;$AB$43,$FS$11,IF($AB$43&gt;$AB$40,$FS$17,""))</f>
        <v>2</v>
      </c>
      <c r="GI11" s="211">
        <f>IF($AQ$16&gt;$AQ$19,$FS$11,IF($AQ$19&gt;$AQ$16,$FS$18,""))</f>
        <v>1</v>
      </c>
      <c r="GK11" s="8">
        <v>9</v>
      </c>
      <c r="GL11" s="292"/>
      <c r="GM11" s="293"/>
      <c r="GN11" s="293"/>
      <c r="GO11" s="293"/>
      <c r="GP11" s="294"/>
      <c r="GQ11" s="229">
        <f t="shared" si="46"/>
        <v>0</v>
      </c>
      <c r="GR11" s="601">
        <f t="shared" si="45"/>
        <v>0</v>
      </c>
      <c r="GU11" s="16">
        <f>Q10</f>
        <v>17</v>
      </c>
      <c r="GV11" s="16" t="e">
        <f>#REF!</f>
        <v>#REF!</v>
      </c>
      <c r="GW11" s="16">
        <f>R10</f>
        <v>17</v>
      </c>
      <c r="GX11" s="1179"/>
      <c r="GY11" s="1180"/>
      <c r="GZ11" s="1180"/>
      <c r="HA11" s="1180"/>
      <c r="HE11" s="16">
        <f>AF10</f>
        <v>18</v>
      </c>
      <c r="HF11" s="16" t="e">
        <f>#REF!</f>
        <v>#REF!</v>
      </c>
      <c r="HG11" s="16">
        <f>AG10</f>
        <v>18</v>
      </c>
      <c r="HH11" s="1179"/>
      <c r="HO11" s="1186"/>
      <c r="HP11" s="290"/>
      <c r="HQ11" s="290"/>
      <c r="HR11" s="290"/>
      <c r="HS11" s="290" t="s">
        <v>79</v>
      </c>
      <c r="HT11" s="290" t="s">
        <v>5</v>
      </c>
      <c r="HU11" s="290" t="s">
        <v>80</v>
      </c>
      <c r="HV11" s="1185"/>
      <c r="HW11" s="290" t="s">
        <v>90</v>
      </c>
      <c r="HX11" s="8" t="s">
        <v>1</v>
      </c>
      <c r="HY11" s="1186"/>
      <c r="HZ11" s="290"/>
      <c r="IA11" s="290"/>
      <c r="IB11" s="290"/>
      <c r="IC11" s="290"/>
      <c r="ID11" s="1185"/>
      <c r="IE11" s="290" t="s">
        <v>89</v>
      </c>
      <c r="IF11" s="1185"/>
      <c r="IG11" s="290"/>
      <c r="IH11" s="8" t="s">
        <v>1</v>
      </c>
      <c r="II11" s="1186"/>
      <c r="IJ11" s="290"/>
      <c r="IK11" s="290"/>
      <c r="IL11" s="290"/>
      <c r="IM11" s="290"/>
      <c r="IN11" s="1185"/>
      <c r="IO11" s="290" t="s">
        <v>89</v>
      </c>
      <c r="IP11" s="1185"/>
      <c r="IQ11" s="290"/>
      <c r="IU11" s="691" t="s">
        <v>1</v>
      </c>
      <c r="IV11" s="692"/>
      <c r="IW11" s="693" t="s">
        <v>2</v>
      </c>
      <c r="IX11" s="694" t="s">
        <v>166</v>
      </c>
      <c r="IZ11" s="691" t="s">
        <v>1</v>
      </c>
      <c r="JA11" s="692"/>
      <c r="JB11" s="693" t="s">
        <v>2</v>
      </c>
      <c r="JC11" s="694" t="s">
        <v>166</v>
      </c>
      <c r="JE11" s="691" t="s">
        <v>1</v>
      </c>
      <c r="JF11" s="692"/>
      <c r="JG11" s="693" t="s">
        <v>2</v>
      </c>
      <c r="JH11" s="694" t="s">
        <v>166</v>
      </c>
    </row>
    <row r="12" spans="1:268" ht="12.75" customHeight="1">
      <c r="A12" s="1211">
        <v>1</v>
      </c>
      <c r="B12" s="329">
        <v>1</v>
      </c>
      <c r="C12" s="106">
        <f>R$2</f>
        <v>9</v>
      </c>
      <c r="D12" s="516" t="str">
        <f>S$2</f>
        <v>Per-Anders Lindstrom</v>
      </c>
      <c r="E12" s="1010"/>
      <c r="F12" s="524" t="str">
        <f t="shared" ref="F12:F43" si="52">IF(E12&lt;&gt;"",E12,IF(G12&lt;&gt;"","N",""))</f>
        <v/>
      </c>
      <c r="G12" s="1018"/>
      <c r="H12" s="1210" t="str">
        <f t="shared" ref="H12:H43" si="53">IF(G12="","",IF(G12=17,$S$10,IF(G12=18,$AH$10,"")))</f>
        <v/>
      </c>
      <c r="I12" s="1210"/>
      <c r="J12" s="1210"/>
      <c r="K12" s="1210"/>
      <c r="L12" s="507"/>
      <c r="M12" s="93">
        <f>IF(N12="","",IF(N12="R",3,IF(N13="R",2,IF(N14="R",1,IF(N15="R",0,0)))))</f>
        <v>0</v>
      </c>
      <c r="N12" s="706" t="s">
        <v>46</v>
      </c>
      <c r="O12" s="268"/>
      <c r="P12" s="1211">
        <v>9</v>
      </c>
      <c r="Q12" s="329">
        <v>6</v>
      </c>
      <c r="R12" s="106">
        <f>R$7</f>
        <v>16</v>
      </c>
      <c r="S12" s="516" t="str">
        <f>S$7</f>
        <v>Rene Stellingwerf</v>
      </c>
      <c r="T12" s="1010" t="s">
        <v>313</v>
      </c>
      <c r="U12" s="524" t="str">
        <f>IF(T12&lt;&gt;"",T12,IF(V12&lt;&gt;"","N",""))</f>
        <v>N</v>
      </c>
      <c r="V12" s="1018">
        <v>17</v>
      </c>
      <c r="W12" s="1210" t="str">
        <f t="shared" ref="W12:W43" si="54">IF(V12="","",IF(V12=17,$S$10,IF(V12=18,$AH$10,"")))</f>
        <v>Simon Reitsma</v>
      </c>
      <c r="X12" s="1210"/>
      <c r="Y12" s="1210"/>
      <c r="Z12" s="1210"/>
      <c r="AA12" s="507"/>
      <c r="AB12" s="93">
        <f>IF(AC12="","",IF(AC12="R",3,IF(AC13="R",2,IF(AC14="R",1,IF(AC15="R",0,0)))))</f>
        <v>0</v>
      </c>
      <c r="AC12" s="723" t="s">
        <v>46</v>
      </c>
      <c r="AD12" s="269"/>
      <c r="AE12" s="1211">
        <v>17</v>
      </c>
      <c r="AF12" s="329">
        <v>1</v>
      </c>
      <c r="AG12" s="106">
        <f>R$2</f>
        <v>9</v>
      </c>
      <c r="AH12" s="516" t="str">
        <f>S$2</f>
        <v>Per-Anders Lindstrom</v>
      </c>
      <c r="AI12" s="1010"/>
      <c r="AJ12" s="524" t="str">
        <f t="shared" ref="AJ12:AJ27" si="55">IF(AI12&lt;&gt;"",AI12,IF(AK12&lt;&gt;"","N",""))</f>
        <v/>
      </c>
      <c r="AK12" s="1018"/>
      <c r="AL12" s="1210" t="str">
        <f t="shared" ref="AL12:AL27" si="56">IF(AK12="","",IF(AK12=17,$S$10,IF(AK12=18,$AH$10,"")))</f>
        <v/>
      </c>
      <c r="AM12" s="1210"/>
      <c r="AN12" s="1210"/>
      <c r="AO12" s="1210"/>
      <c r="AP12" s="507"/>
      <c r="AQ12" s="93">
        <f>IF(AR12="","",IF(AR12="R",3,IF(AR13="R",2,IF(AR14="R",1,IF(AR15="R",0,0)))))</f>
        <v>0</v>
      </c>
      <c r="AR12" s="723" t="s">
        <v>221</v>
      </c>
      <c r="AS12" s="268"/>
      <c r="AT12" s="194">
        <f t="shared" ref="AT12:AT29" si="57">IF($M$15="","",CC3)</f>
        <v>1</v>
      </c>
      <c r="AU12" s="64" t="str">
        <f t="shared" ref="AU12:AU29" si="58">IF($M$15="","",CD3)</f>
        <v/>
      </c>
      <c r="AV12" s="89" t="str">
        <f t="shared" ref="AV12:AV29" si="59">CH3</f>
        <v>Dimitry Koltakov</v>
      </c>
      <c r="AW12" s="90">
        <f t="shared" ref="AW12:AW29" si="60">CJ3</f>
        <v>3</v>
      </c>
      <c r="AX12" s="91">
        <f t="shared" ref="AX12:AX29" si="61">CK3</f>
        <v>3</v>
      </c>
      <c r="AY12" s="91">
        <f t="shared" ref="AY12:AY29" si="62">CL3</f>
        <v>3</v>
      </c>
      <c r="AZ12" s="91">
        <f t="shared" ref="AZ12:AZ29" si="63">CM3</f>
        <v>3</v>
      </c>
      <c r="BA12" s="92">
        <f t="shared" ref="BA12:BA29" si="64">CN3</f>
        <v>3</v>
      </c>
      <c r="BB12" s="188">
        <f t="shared" ref="BB12:BB29" si="65">CO3</f>
        <v>15</v>
      </c>
      <c r="BD12" s="147">
        <f t="shared" ref="BD12:BD29" si="66">IF(BE12="","",SUMIF(FB$3:FB$20,BE12,FA$3:FA$20))</f>
        <v>2</v>
      </c>
      <c r="BE12" s="492" t="str">
        <f>IF($BJ$17&lt;12,"",IF($BJ$17=12,CH87,IF($BJ$17=16,CH27,IF($BJ$17=20,CH67,IF($BJ$17=21,CH67,IF($BJ$17=22,CH47,IF($BJ$17=23,FO3)))))))</f>
        <v>Dimitry Koltakov</v>
      </c>
      <c r="BF12" s="188">
        <f>IF($BJ$17&lt;12,"",IF($BJ$17=12,CI87,IF($BJ$17=16,CI27,IF($BJ$17=20,CI67,IF($BJ$17=21,CI67,IF($BJ$17=22,CI47,IF($BJ$17=23,FP3)))))))</f>
        <v>21</v>
      </c>
      <c r="BG12"/>
      <c r="BH12" s="390">
        <f>COUNTIF(AH$40:AH$43,BE12)</f>
        <v>1</v>
      </c>
      <c r="BI12" s="974">
        <v>18</v>
      </c>
      <c r="BJ12" s="16">
        <f>IF(AC40&lt;&gt;"",16,0)</f>
        <v>16</v>
      </c>
      <c r="BK12" s="451">
        <v>16</v>
      </c>
      <c r="BL12" s="8">
        <f>$M12</f>
        <v>0</v>
      </c>
      <c r="BQ12" s="8">
        <f>$AB12</f>
        <v>0</v>
      </c>
      <c r="BV12" s="8">
        <f>$AQ12</f>
        <v>0</v>
      </c>
      <c r="BY12" s="8"/>
      <c r="BZ12" s="16">
        <v>1</v>
      </c>
      <c r="CA12" s="16">
        <f t="shared" ref="CA12:CA19" si="67">(AB2)</f>
        <v>2</v>
      </c>
      <c r="CB12" s="13">
        <v>1</v>
      </c>
      <c r="CC12" s="49">
        <f t="shared" si="4"/>
        <v>10</v>
      </c>
      <c r="CD12" s="50" t="str">
        <f t="shared" si="31"/>
        <v/>
      </c>
      <c r="CE12" s="31">
        <v>10</v>
      </c>
      <c r="CF12" s="121">
        <f t="shared" si="5"/>
        <v>5</v>
      </c>
      <c r="CG12" s="126"/>
      <c r="CH12" s="74" t="str">
        <f t="shared" si="32"/>
        <v>Antonin Klatovsky</v>
      </c>
      <c r="CI12" s="278">
        <f t="shared" si="6"/>
        <v>5.0102200000000003</v>
      </c>
      <c r="CJ12" s="85">
        <f t="shared" si="7"/>
        <v>1</v>
      </c>
      <c r="CK12" s="70">
        <f t="shared" si="8"/>
        <v>1</v>
      </c>
      <c r="CL12" s="70">
        <f t="shared" si="9"/>
        <v>0</v>
      </c>
      <c r="CM12" s="70">
        <f t="shared" si="10"/>
        <v>0</v>
      </c>
      <c r="CN12" s="86">
        <f t="shared" si="11"/>
        <v>3</v>
      </c>
      <c r="CO12" s="79">
        <f t="shared" si="33"/>
        <v>5</v>
      </c>
      <c r="CP12" s="52"/>
      <c r="CQ12" s="249"/>
      <c r="CR12" s="27">
        <f t="shared" si="12"/>
        <v>5</v>
      </c>
      <c r="CS12" s="258">
        <f>RANK(DP12,$DP$3:$DP$20)+COUNTIF(DP$3:DP12,DP12)-1</f>
        <v>9</v>
      </c>
      <c r="CT12" s="32">
        <f t="shared" si="49"/>
        <v>10</v>
      </c>
      <c r="CU12" s="423">
        <f>VLOOKUP(CW12,Draw!$B$3:$C$42,2,FALSE)</f>
        <v>12</v>
      </c>
      <c r="CV12" s="185">
        <f>VLOOKUP(CW12,Draw!$B$3:$C$42,2,FALSE)</f>
        <v>12</v>
      </c>
      <c r="CW12" s="33" t="str">
        <f t="shared" si="50"/>
        <v>Hans Weber</v>
      </c>
      <c r="CX12" s="4">
        <f t="shared" si="51"/>
        <v>0</v>
      </c>
      <c r="CY12" s="4">
        <f t="shared" si="51"/>
        <v>2</v>
      </c>
      <c r="CZ12" s="4">
        <f t="shared" si="51"/>
        <v>2</v>
      </c>
      <c r="DA12" s="4">
        <f t="shared" si="51"/>
        <v>1</v>
      </c>
      <c r="DB12" s="34">
        <f t="shared" si="51"/>
        <v>1</v>
      </c>
      <c r="DC12" s="250">
        <f t="shared" si="16"/>
        <v>6</v>
      </c>
      <c r="DD12" s="243">
        <f t="shared" si="17"/>
        <v>0</v>
      </c>
      <c r="DE12" s="236">
        <f t="shared" si="34"/>
        <v>0</v>
      </c>
      <c r="DF12" s="232">
        <f t="shared" si="18"/>
        <v>2</v>
      </c>
      <c r="DG12" s="234">
        <f t="shared" si="35"/>
        <v>2E-3</v>
      </c>
      <c r="DH12" s="232">
        <f t="shared" si="19"/>
        <v>2</v>
      </c>
      <c r="DI12" s="41">
        <f t="shared" si="36"/>
        <v>2.0000000000000001E-4</v>
      </c>
      <c r="DJ12" s="271">
        <f t="shared" si="20"/>
        <v>1</v>
      </c>
      <c r="DK12" s="602">
        <f t="shared" si="37"/>
        <v>1.0000000000000001E-5</v>
      </c>
      <c r="DL12" s="281">
        <f t="shared" si="21"/>
        <v>0</v>
      </c>
      <c r="DM12" s="643">
        <f t="shared" si="48"/>
        <v>4.7999999999999996E-7</v>
      </c>
      <c r="DN12" s="284">
        <f t="shared" si="22"/>
        <v>6.0022099999999998</v>
      </c>
      <c r="DO12" s="284">
        <f t="shared" si="23"/>
        <v>6.0022099999999998</v>
      </c>
      <c r="DP12" s="647">
        <f t="shared" si="38"/>
        <v>6.0022104799999996</v>
      </c>
      <c r="DQ12" s="594"/>
      <c r="DR12" s="205" t="str">
        <f>IF($DN$12=$DN$3,$CV$12,"")</f>
        <v/>
      </c>
      <c r="DS12" s="4" t="str">
        <f>IF($DN$12=$DN$4,$CV$12,"")</f>
        <v/>
      </c>
      <c r="DT12" s="4" t="str">
        <f>IF($DN$12=$DN$5,$CV$12,"")</f>
        <v/>
      </c>
      <c r="DU12" s="4" t="str">
        <f>IF($DN$12=$DN$6,$CV$12,"")</f>
        <v/>
      </c>
      <c r="DV12" s="4" t="str">
        <f>IF($DN$12=$DN$7,$CV$12,"")</f>
        <v/>
      </c>
      <c r="DW12" s="4" t="str">
        <f>IF($DN$12=$DN$8,$CV$12,"")</f>
        <v/>
      </c>
      <c r="DX12" s="4" t="str">
        <f>IF($DN$12=$DN$9,$CV$12,"")</f>
        <v/>
      </c>
      <c r="DY12" s="4" t="str">
        <f>IF($DN$12=$DN$10,$CV$12,"")</f>
        <v/>
      </c>
      <c r="DZ12" s="4" t="str">
        <f>IF($DN$12=$DN$11,$CV$12,"")</f>
        <v/>
      </c>
      <c r="EA12" s="208"/>
      <c r="EB12" s="4" t="str">
        <f>IF($DN$12=$DN$13,$CV$12,"")</f>
        <v/>
      </c>
      <c r="EC12" s="4" t="str">
        <f>IF($DN$12=$DN$14,$CV$12,"")</f>
        <v/>
      </c>
      <c r="ED12" s="4" t="str">
        <f>IF($DN$12=$DN$15,$CV$12,"")</f>
        <v/>
      </c>
      <c r="EE12" s="4" t="str">
        <f>IF($DN$12=$DN$16,$CV$12,"")</f>
        <v/>
      </c>
      <c r="EF12" s="4" t="str">
        <f>IF($DN$12=$DN$17,$CV$12,"")</f>
        <v/>
      </c>
      <c r="EG12" s="225" t="str">
        <f>IF($DN$12=$DN$18,$CV$12,"")</f>
        <v/>
      </c>
      <c r="EH12" s="215">
        <f>$AG$3</f>
        <v>12</v>
      </c>
      <c r="EI12" s="205" t="str">
        <f>IF($DR$12="","",$FT$12)</f>
        <v/>
      </c>
      <c r="EJ12" s="4" t="str">
        <f>IF($DS$12="","",$FU$12)</f>
        <v/>
      </c>
      <c r="EK12" s="4" t="str">
        <f>IF($DT$12="","",$FV$12)</f>
        <v/>
      </c>
      <c r="EL12" s="4" t="str">
        <f>IF($DU$12="","",$FW$12)</f>
        <v/>
      </c>
      <c r="EM12" s="4" t="str">
        <f>IF($DV$12="","",$FX$12)</f>
        <v/>
      </c>
      <c r="EN12" s="4" t="str">
        <f>IF($DW$12="","",$FY$12)</f>
        <v/>
      </c>
      <c r="EO12" s="4" t="str">
        <f>IF($DX$12="","",$FZ$12)</f>
        <v/>
      </c>
      <c r="EP12" s="4" t="str">
        <f>IF($DY$12="","",$GA$12)</f>
        <v/>
      </c>
      <c r="EQ12" s="4" t="str">
        <f>IF($DZ$12="","",$GB$12)</f>
        <v/>
      </c>
      <c r="ER12" s="208"/>
      <c r="ES12" s="4" t="str">
        <f>IF($EB$12="","",$GD$12)</f>
        <v/>
      </c>
      <c r="ET12" s="4" t="str">
        <f>IF($EC$12="","",$GE$12)</f>
        <v/>
      </c>
      <c r="EU12" s="4" t="str">
        <f>IF($ED$12="","",$GF$12)</f>
        <v/>
      </c>
      <c r="EV12" s="4" t="str">
        <f>IF($EE$12="","",$GG$12)</f>
        <v/>
      </c>
      <c r="EW12" s="4" t="str">
        <f>IF($EF$12="","",$GH$12)</f>
        <v/>
      </c>
      <c r="EX12" s="225" t="str">
        <f>IF($EG$12="","",$GI$12)</f>
        <v/>
      </c>
      <c r="EY12" s="230">
        <f>COUNTIF($EI$12:$EX$12,$EH$12)</f>
        <v>0</v>
      </c>
      <c r="FA12" s="130">
        <f t="shared" si="24"/>
        <v>12</v>
      </c>
      <c r="FB12" s="13" t="str">
        <f t="shared" si="25"/>
        <v>Hans Weber</v>
      </c>
      <c r="FC12" s="129">
        <f t="shared" si="39"/>
        <v>0</v>
      </c>
      <c r="FD12" s="129">
        <f t="shared" si="26"/>
        <v>0</v>
      </c>
      <c r="FE12" s="504">
        <v>0</v>
      </c>
      <c r="FF12" s="129">
        <f t="shared" si="40"/>
        <v>0</v>
      </c>
      <c r="FG12" s="483">
        <f t="shared" si="27"/>
        <v>6.0022104799999996</v>
      </c>
      <c r="FH12" s="483">
        <f t="shared" si="41"/>
        <v>6.0022104799999996</v>
      </c>
      <c r="FI12" s="176">
        <f t="shared" si="42"/>
        <v>6.0022104799999996</v>
      </c>
      <c r="FJ12" s="484">
        <f t="shared" si="28"/>
        <v>6.0022104799999996</v>
      </c>
      <c r="FK12" s="16">
        <f t="shared" si="29"/>
        <v>9</v>
      </c>
      <c r="FL12" s="710">
        <v>10</v>
      </c>
      <c r="FM12" s="710">
        <f t="shared" si="43"/>
        <v>6</v>
      </c>
      <c r="FN12" s="512"/>
      <c r="FO12" s="13" t="str">
        <f t="shared" si="44"/>
        <v>Antonin Klatovsky</v>
      </c>
      <c r="FP12" s="496">
        <f t="shared" si="47"/>
        <v>5</v>
      </c>
      <c r="FQ12" s="13">
        <f t="shared" si="30"/>
        <v>0</v>
      </c>
      <c r="FS12" s="215">
        <f>$AG$3</f>
        <v>12</v>
      </c>
      <c r="FT12" s="205">
        <f>IF($AQ$12&gt;$AQ$15,$FS$3,IF($AQ$15&gt;$AQ$12,$FS$12,""))</f>
        <v>12</v>
      </c>
      <c r="FU12" s="4">
        <f>IF($M$34&gt;$M$33,$FS$4,IF($M$33&gt;$M$34,$FS$12,""))</f>
        <v>3</v>
      </c>
      <c r="FV12" s="4">
        <f>IF($AB$37&gt;$AB$38,$FS$5,IF($AB$38&gt;$AB$37,$FS$12,""))</f>
        <v>10</v>
      </c>
      <c r="FW12" s="4">
        <f>IF($AB$25&gt;$AB$26,$FS$6,IF($AB$26&gt;$AB$25,$FS$12,""))</f>
        <v>12</v>
      </c>
      <c r="FX12" s="4">
        <f>IF($AB$39&gt;$AB$38,$FS$7,IF($AB$38&gt;$AB$39,$FS$12))</f>
        <v>12</v>
      </c>
      <c r="FY12" s="4">
        <f>IF($M$35&gt;$M$33,$FS$8,IF($M$33&gt;$M$35,$FS$12,""))</f>
        <v>12</v>
      </c>
      <c r="FZ12" s="4">
        <f>IF($AB$27&gt;$AB$26,$FS$9,IF($AB$26&gt;$AB$27,$FS$12,""))</f>
        <v>4</v>
      </c>
      <c r="GA12" s="4">
        <f>IF($AQ$13&gt;$AQ$15,$FS$10,IF($AQ$15&gt;$AQ$13,$FS$12,""))</f>
        <v>7</v>
      </c>
      <c r="GB12" s="4">
        <f>IF($M$22&gt;$M$20,$FS$11,IF($M$20&gt;$M$22,$FS$12,""))</f>
        <v>1</v>
      </c>
      <c r="GC12" s="208"/>
      <c r="GD12" s="4">
        <f>IF($M$20&gt;$M$21,$FS$12,IF($M$21&gt;$M$20,$FS$13,""))</f>
        <v>15</v>
      </c>
      <c r="GE12" s="4">
        <f>IF($M$20&gt;$M$23,$FS$12,IF($M$23&gt;$M$20,$FS$14,""))</f>
        <v>11</v>
      </c>
      <c r="GF12" s="4">
        <f>IF($AB$26&gt;$AB$24,$FS$12,IF($AB$24&gt;$AB$26,$FS$15,""))</f>
        <v>12</v>
      </c>
      <c r="GG12" s="4">
        <f>IF($M$33&gt;$M$32,$FS$12,IF($M$32&gt;$M$33,$FS$16,""))</f>
        <v>12</v>
      </c>
      <c r="GH12" s="4">
        <f>IF($AQ$15&gt;$AQ$14,$FS$12,IF($AQ$14&gt;$AQ$15,$FS$17))</f>
        <v>2</v>
      </c>
      <c r="GI12" s="211">
        <f>IF($AB$38&gt;$AB$36,$FS$12,IF($AB$36&gt;$AB$38,$FS$18,""))</f>
        <v>5</v>
      </c>
      <c r="GK12" s="8">
        <v>10</v>
      </c>
      <c r="GL12" s="205"/>
      <c r="GM12" s="4"/>
      <c r="GN12" s="4"/>
      <c r="GO12" s="4"/>
      <c r="GP12" s="225"/>
      <c r="GQ12" s="230">
        <f t="shared" si="46"/>
        <v>0</v>
      </c>
      <c r="GR12" s="601">
        <f t="shared" si="45"/>
        <v>0</v>
      </c>
      <c r="GW12" s="1143">
        <v>1</v>
      </c>
      <c r="GX12" s="229" t="str">
        <f>IF($N$12="","",IF($IW$12=$GX$3,$IX$12,IF(AND($H$12=$GX$3,$L$12&lt;&gt;""),$L$12,IF(AND($H$12=$GX$3,$L$12=""),$M$12,""))))</f>
        <v/>
      </c>
      <c r="GY12" s="299">
        <v>80</v>
      </c>
      <c r="GZ12" s="300" t="str">
        <f>IF(GX12="","",GY12)</f>
        <v/>
      </c>
      <c r="HA12" s="93" t="str">
        <f t="shared" ref="HA12:HA43" si="68">IF(GX12="","",RANK(GZ12,GZ$12:GZ$91))</f>
        <v/>
      </c>
      <c r="HB12" s="514">
        <f>MAX(HA12:HA91)</f>
        <v>5</v>
      </c>
      <c r="HC12" s="93" t="str">
        <f>IF(GX12="","",GX12)</f>
        <v/>
      </c>
      <c r="HG12" s="1143">
        <v>1</v>
      </c>
      <c r="HH12" s="229" t="str">
        <f>IF($N$12="","",IF($IW$12=$HH$3,$IX$12,IF(AND($H$12=$HH$3,$L$12&lt;&gt;""),$L$12,IF(AND($H$12=$HH$3,$L$12=""),$M$12,""))))</f>
        <v/>
      </c>
      <c r="HI12" s="299">
        <v>80</v>
      </c>
      <c r="HJ12" s="300" t="str">
        <f>IF(HH12="","",HI12)</f>
        <v/>
      </c>
      <c r="HK12" s="93" t="str">
        <f t="shared" ref="HK12:HK43" si="69">IF(HH12="","",RANK(HJ12,HJ$12:HJ$91))</f>
        <v/>
      </c>
      <c r="HL12" s="514">
        <f>MAX(HK12:HK91)</f>
        <v>0</v>
      </c>
      <c r="HM12" s="93" t="str">
        <f t="shared" ref="HM12:HM75" si="70">IF(HH12="","",HH12)</f>
        <v/>
      </c>
      <c r="HN12" s="1148">
        <v>1</v>
      </c>
      <c r="HO12" s="346" t="str">
        <f>IF($H12="",$D12,$H12)</f>
        <v>Per-Anders Lindstrom</v>
      </c>
      <c r="HP12" s="335"/>
      <c r="HQ12" s="335" t="str">
        <f>IF($L12="","",$L12)</f>
        <v/>
      </c>
      <c r="HR12" s="335">
        <v>0.04</v>
      </c>
      <c r="HS12" s="456">
        <f>IF($M12="","",SUM(HR12+$M12))</f>
        <v>0.04</v>
      </c>
      <c r="HT12" s="457">
        <f>RANK(HS12,HS12:HS15)</f>
        <v>4</v>
      </c>
      <c r="HU12" s="335" t="str">
        <f>IF(HQ12="",HO12,HO12&amp;" ("&amp;HQ12&amp;")")</f>
        <v>Per-Anders Lindstrom</v>
      </c>
      <c r="HV12" s="347">
        <v>1</v>
      </c>
      <c r="HW12" s="336" t="str">
        <f>IF(N12="","",VLOOKUP(HV12,HT12:HU15,2,FALSE))</f>
        <v>Dimitry Khomitsevich</v>
      </c>
      <c r="HX12" s="1148">
        <v>9</v>
      </c>
      <c r="HY12" s="346" t="str">
        <f>IF($W12="",$S12,$W12)</f>
        <v>Simon Reitsma</v>
      </c>
      <c r="HZ12" s="335"/>
      <c r="IA12" s="335" t="str">
        <f>IF($AA12="","",$AA12)</f>
        <v/>
      </c>
      <c r="IB12" s="335">
        <v>0.04</v>
      </c>
      <c r="IC12" s="456">
        <f>IF($AB12="","",SUM(IB12+$AB12))</f>
        <v>0.04</v>
      </c>
      <c r="ID12" s="457">
        <f>RANK(IC12,IC12:IC15)</f>
        <v>4</v>
      </c>
      <c r="IE12" s="335" t="str">
        <f>IF(IA12="",HY12,HY12&amp;" ("&amp;IA12&amp;")")</f>
        <v>Simon Reitsma</v>
      </c>
      <c r="IF12" s="350">
        <v>1</v>
      </c>
      <c r="IG12" s="336" t="str">
        <f>IF(AC12="","",VLOOKUP(IF12,ID12:IE15,2,FALSE))</f>
        <v>Stefan Svensson</v>
      </c>
      <c r="IH12" s="1148">
        <v>17</v>
      </c>
      <c r="II12" s="346" t="str">
        <f>IF($AL12="",$AH12,$AL12)</f>
        <v>Per-Anders Lindstrom</v>
      </c>
      <c r="IJ12" s="335"/>
      <c r="IK12" s="335" t="str">
        <f>IF($AP12="","",$AP12)</f>
        <v/>
      </c>
      <c r="IL12" s="335">
        <v>0.04</v>
      </c>
      <c r="IM12" s="456">
        <f>IF($AQ12="","",SUM(IL12+$AQ12))</f>
        <v>0.04</v>
      </c>
      <c r="IN12" s="457">
        <f>RANK(IM12,IM12:IM15)</f>
        <v>4</v>
      </c>
      <c r="IO12" s="335" t="str">
        <f>IF(IK12="",II12,II12&amp;" ("&amp;IK12&amp;")")</f>
        <v>Per-Anders Lindstrom</v>
      </c>
      <c r="IP12" s="350">
        <v>1</v>
      </c>
      <c r="IQ12" s="336" t="str">
        <f>IF(AR12="","",VLOOKUP(IP12,IN12:IO15,2,FALSE))</f>
        <v>Dimitry Koltakov</v>
      </c>
      <c r="IU12" s="1111">
        <v>1</v>
      </c>
      <c r="IV12" s="695"/>
      <c r="IW12" s="696" t="str">
        <f t="shared" ref="IW12:IW43" si="71">IF(IV12=17,$S$10,IF(IV12=18,$AH$10,""))</f>
        <v/>
      </c>
      <c r="IX12" s="697"/>
      <c r="IZ12" s="1111">
        <v>9</v>
      </c>
      <c r="JA12" s="695"/>
      <c r="JB12" s="696" t="str">
        <f t="shared" ref="JB12:JB43" si="72">IF(JA12=17,$S$10,IF(JA12=18,$AH$10,""))</f>
        <v/>
      </c>
      <c r="JC12" s="697"/>
      <c r="JE12" s="1111">
        <v>17</v>
      </c>
      <c r="JF12" s="695"/>
      <c r="JG12" s="696" t="str">
        <f t="shared" ref="JG12:JG27" si="73">IF(JF12=17,$S$10,IF(JF12=18,$AH$10,""))</f>
        <v/>
      </c>
      <c r="JH12" s="697"/>
    </row>
    <row r="13" spans="1:268" ht="12.75" customHeight="1">
      <c r="A13" s="1212"/>
      <c r="B13" s="39">
        <v>2</v>
      </c>
      <c r="C13" s="101">
        <f>R$3</f>
        <v>3</v>
      </c>
      <c r="D13" s="517" t="str">
        <f>S$3</f>
        <v>Dimitry Khomitsevich</v>
      </c>
      <c r="E13" s="1011"/>
      <c r="F13" s="525" t="str">
        <f t="shared" si="52"/>
        <v/>
      </c>
      <c r="G13" s="1019"/>
      <c r="H13" s="1198" t="str">
        <f t="shared" si="53"/>
        <v/>
      </c>
      <c r="I13" s="1198"/>
      <c r="J13" s="1198"/>
      <c r="K13" s="1198"/>
      <c r="L13" s="508"/>
      <c r="M13" s="146">
        <f>IF(N12="","",IF(N12="B",3,IF(N13="B",2,IF(N14="B",1,IF(N15="B",0,0)))))</f>
        <v>3</v>
      </c>
      <c r="N13" s="707" t="s">
        <v>221</v>
      </c>
      <c r="O13" s="268"/>
      <c r="P13" s="1212"/>
      <c r="Q13" s="39">
        <v>16</v>
      </c>
      <c r="R13" s="101">
        <f>AG$9</f>
        <v>5</v>
      </c>
      <c r="S13" s="517" t="str">
        <f>AH$9</f>
        <v>Stefan Svensson</v>
      </c>
      <c r="T13" s="1011"/>
      <c r="U13" s="525" t="str">
        <f>IF(T13&lt;&gt;"",T13,IF(V13&lt;&gt;"","N",""))</f>
        <v/>
      </c>
      <c r="V13" s="1019"/>
      <c r="W13" s="1198" t="str">
        <f t="shared" si="54"/>
        <v/>
      </c>
      <c r="X13" s="1198"/>
      <c r="Y13" s="1198"/>
      <c r="Z13" s="1198"/>
      <c r="AA13" s="508"/>
      <c r="AB13" s="146">
        <f>IF(AC12="","",IF(AC12="B",3,IF(AC13="B",2,IF(AC14="B",1,IF(AC15="B",0,0)))))</f>
        <v>3</v>
      </c>
      <c r="AC13" s="724" t="s">
        <v>222</v>
      </c>
      <c r="AD13" s="269"/>
      <c r="AE13" s="1212"/>
      <c r="AF13" s="39">
        <v>8</v>
      </c>
      <c r="AG13" s="101">
        <f>R$9</f>
        <v>7</v>
      </c>
      <c r="AH13" s="517" t="str">
        <f>S$9</f>
        <v>Gunter Bauer</v>
      </c>
      <c r="AI13" s="1011"/>
      <c r="AJ13" s="525" t="str">
        <f t="shared" si="55"/>
        <v/>
      </c>
      <c r="AK13" s="1019"/>
      <c r="AL13" s="1198" t="str">
        <f t="shared" si="56"/>
        <v/>
      </c>
      <c r="AM13" s="1198"/>
      <c r="AN13" s="1198"/>
      <c r="AO13" s="1198"/>
      <c r="AP13" s="508"/>
      <c r="AQ13" s="146">
        <f>IF(AR12="","",IF(AR12="B",3,IF(AR13="B",2,IF(AR14="B",1,IF(AR15="B",0,0)))))</f>
        <v>2</v>
      </c>
      <c r="AR13" s="724" t="s">
        <v>46</v>
      </c>
      <c r="AS13" s="268"/>
      <c r="AT13" s="195">
        <f t="shared" si="57"/>
        <v>2</v>
      </c>
      <c r="AU13" s="65" t="str">
        <f t="shared" si="58"/>
        <v/>
      </c>
      <c r="AV13" s="94" t="str">
        <f t="shared" si="59"/>
        <v>Dimitry Khomitsevich</v>
      </c>
      <c r="AW13" s="3">
        <f t="shared" si="60"/>
        <v>3</v>
      </c>
      <c r="AX13" s="4">
        <f t="shared" si="61"/>
        <v>3</v>
      </c>
      <c r="AY13" s="4">
        <f t="shared" si="62"/>
        <v>2</v>
      </c>
      <c r="AZ13" s="4">
        <f t="shared" si="63"/>
        <v>3</v>
      </c>
      <c r="BA13" s="26">
        <f t="shared" si="64"/>
        <v>3</v>
      </c>
      <c r="BB13" s="189">
        <f t="shared" si="65"/>
        <v>14</v>
      </c>
      <c r="BD13" s="192">
        <f t="shared" si="66"/>
        <v>1</v>
      </c>
      <c r="BE13" s="493" t="str">
        <f t="shared" ref="BE13:BE29" si="74">IF($BJ$17&lt;12,"",IF($BJ$17=12,CH88,IF($BJ$17=16,CH28,IF($BJ$17=20,CH68,IF($BJ$17=21,CH68,IF($BJ$17=22,CH48,IF($BJ$17=23,FO4)))))))</f>
        <v>Daniil Ivanov</v>
      </c>
      <c r="BF13" s="95">
        <f t="shared" ref="BF13:BF29" si="75">IF($BJ$17&lt;12,"",IF($BJ$17=12,CI88,IF($BJ$17=16,CI28,IF($BJ$17=20,CI68,IF($BJ$17=21,CI68,IF($BJ$17=22,CI48,IF($BJ$17=23,FP4)))))))</f>
        <v>17</v>
      </c>
      <c r="BG13"/>
      <c r="BH13" s="390">
        <f t="shared" ref="BH13:BH29" si="76">COUNTIF(AH$40:AH$43,BE13)</f>
        <v>1</v>
      </c>
      <c r="BI13" s="974">
        <v>17</v>
      </c>
      <c r="BJ13" s="16">
        <f>IF(AR24&lt;&gt;"",20,0)</f>
        <v>20</v>
      </c>
      <c r="BK13" s="451">
        <v>15</v>
      </c>
      <c r="BM13" s="8">
        <f>$M13</f>
        <v>3</v>
      </c>
      <c r="BR13" s="8">
        <f>$AB13</f>
        <v>3</v>
      </c>
      <c r="BW13" s="8">
        <f>$AQ13</f>
        <v>2</v>
      </c>
      <c r="BY13" s="8"/>
      <c r="BZ13" s="16">
        <v>2</v>
      </c>
      <c r="CA13" s="16">
        <f t="shared" si="67"/>
        <v>14</v>
      </c>
      <c r="CB13" s="13">
        <v>2</v>
      </c>
      <c r="CC13" s="49">
        <f t="shared" si="4"/>
        <v>11</v>
      </c>
      <c r="CD13" s="50" t="str">
        <f t="shared" si="31"/>
        <v/>
      </c>
      <c r="CE13" s="31">
        <v>11</v>
      </c>
      <c r="CF13" s="121">
        <f t="shared" si="5"/>
        <v>13</v>
      </c>
      <c r="CG13" s="126"/>
      <c r="CH13" s="74" t="str">
        <f t="shared" si="32"/>
        <v>Daniel Henderson</v>
      </c>
      <c r="CI13" s="278">
        <f t="shared" si="6"/>
        <v>5.0013100000000001</v>
      </c>
      <c r="CJ13" s="85">
        <f t="shared" si="7"/>
        <v>1</v>
      </c>
      <c r="CK13" s="70">
        <f t="shared" si="8"/>
        <v>2</v>
      </c>
      <c r="CL13" s="70">
        <f t="shared" si="9"/>
        <v>1</v>
      </c>
      <c r="CM13" s="70">
        <f t="shared" si="10"/>
        <v>0</v>
      </c>
      <c r="CN13" s="86">
        <f t="shared" si="11"/>
        <v>1</v>
      </c>
      <c r="CO13" s="79">
        <f t="shared" si="33"/>
        <v>5</v>
      </c>
      <c r="CP13" s="52"/>
      <c r="CQ13" s="249"/>
      <c r="CR13" s="27">
        <f t="shared" si="12"/>
        <v>13</v>
      </c>
      <c r="CS13" s="258">
        <f>RANK(DP13,$DP$3:$DP$20)+COUNTIF(DP$3:DP13,DP13)-1</f>
        <v>13</v>
      </c>
      <c r="CT13" s="32">
        <f t="shared" si="49"/>
        <v>11</v>
      </c>
      <c r="CU13" s="423">
        <f>VLOOKUP(CW13,Draw!$B$3:$C$42,2,FALSE)</f>
        <v>15</v>
      </c>
      <c r="CV13" s="185">
        <f>VLOOKUP(CW13,Draw!$B$3:$C$42,2,FALSE)</f>
        <v>15</v>
      </c>
      <c r="CW13" s="33" t="str">
        <f t="shared" si="50"/>
        <v>Harald Simon</v>
      </c>
      <c r="CX13" s="4">
        <f t="shared" si="51"/>
        <v>1</v>
      </c>
      <c r="CY13" s="4">
        <f t="shared" si="51"/>
        <v>0</v>
      </c>
      <c r="CZ13" s="4">
        <f t="shared" si="51"/>
        <v>2</v>
      </c>
      <c r="DA13" s="4">
        <f t="shared" si="51"/>
        <v>1</v>
      </c>
      <c r="DB13" s="34">
        <f t="shared" si="51"/>
        <v>0</v>
      </c>
      <c r="DC13" s="250">
        <f t="shared" si="16"/>
        <v>4</v>
      </c>
      <c r="DD13" s="243">
        <f t="shared" si="17"/>
        <v>0</v>
      </c>
      <c r="DE13" s="236">
        <f t="shared" si="34"/>
        <v>0</v>
      </c>
      <c r="DF13" s="232">
        <f t="shared" si="18"/>
        <v>1</v>
      </c>
      <c r="DG13" s="234">
        <f t="shared" si="35"/>
        <v>1E-3</v>
      </c>
      <c r="DH13" s="232">
        <f t="shared" si="19"/>
        <v>2</v>
      </c>
      <c r="DI13" s="41">
        <f t="shared" si="36"/>
        <v>2.0000000000000001E-4</v>
      </c>
      <c r="DJ13" s="271">
        <f t="shared" si="20"/>
        <v>2</v>
      </c>
      <c r="DK13" s="602">
        <f t="shared" si="37"/>
        <v>2.0000000000000002E-5</v>
      </c>
      <c r="DL13" s="281">
        <f t="shared" si="21"/>
        <v>0</v>
      </c>
      <c r="DM13" s="644">
        <f t="shared" si="48"/>
        <v>4.4999999999999998E-7</v>
      </c>
      <c r="DN13" s="285">
        <f t="shared" si="22"/>
        <v>4.0012200000000009</v>
      </c>
      <c r="DO13" s="285">
        <f t="shared" si="23"/>
        <v>4.0012200000000009</v>
      </c>
      <c r="DP13" s="648">
        <f t="shared" si="38"/>
        <v>4.0012204500000008</v>
      </c>
      <c r="DQ13" s="595"/>
      <c r="DR13" s="205" t="str">
        <f>IF($DN$13=$DN$3,$CV$13,"")</f>
        <v/>
      </c>
      <c r="DS13" s="4" t="str">
        <f>IF($DN$13=$DN$4,$CV$13,"")</f>
        <v/>
      </c>
      <c r="DT13" s="4" t="str">
        <f>IF($DN$13=$DN$5,$CV$13,"")</f>
        <v/>
      </c>
      <c r="DU13" s="4">
        <f>IF($DN$13=$DN$6,$CV$13,"")</f>
        <v>15</v>
      </c>
      <c r="DV13" s="4" t="str">
        <f>IF($DN$13=$DN$7,$CV$13,"")</f>
        <v/>
      </c>
      <c r="DW13" s="4" t="str">
        <f>IF($DN$13=$DN$8,$CV$13,"")</f>
        <v/>
      </c>
      <c r="DX13" s="4" t="str">
        <f>IF($DN$13=$DN$9,$CV$13,"")</f>
        <v/>
      </c>
      <c r="DY13" s="4" t="str">
        <f>IF($DN$13=$DN$10,$CV$13,"")</f>
        <v/>
      </c>
      <c r="DZ13" s="4" t="str">
        <f>IF($DN$13=$DN$11,$CV$13,"")</f>
        <v/>
      </c>
      <c r="EA13" s="4" t="str">
        <f>IF($DN$13=$DN$12,$CV$13,"")</f>
        <v/>
      </c>
      <c r="EB13" s="208"/>
      <c r="EC13" s="4" t="str">
        <f>IF($DN$13=$DN$14,$CV$13,"")</f>
        <v/>
      </c>
      <c r="ED13" s="4" t="str">
        <f>IF($DN$13=$DN$15,$CV$13,"")</f>
        <v/>
      </c>
      <c r="EE13" s="4" t="str">
        <f>IF($DN$13=$DN$16,$CV$13,"")</f>
        <v/>
      </c>
      <c r="EF13" s="4" t="str">
        <f>IF($DN$13=$DN$17,$CV$13,"")</f>
        <v/>
      </c>
      <c r="EG13" s="225" t="str">
        <f>IF($DN$13=$DN$18,$CV$13,"")</f>
        <v/>
      </c>
      <c r="EH13" s="215">
        <f>$AG$4</f>
        <v>15</v>
      </c>
      <c r="EI13" s="205" t="str">
        <f>IF($DR$13="","",$FT$13)</f>
        <v/>
      </c>
      <c r="EJ13" s="4" t="str">
        <f>IF($DS$13="","",$FU$13)</f>
        <v/>
      </c>
      <c r="EK13" s="4" t="str">
        <f>IF($DT$13="","",$FV$13)</f>
        <v/>
      </c>
      <c r="EL13" s="4">
        <f>IF($DU$13="","",$FW$13)</f>
        <v>6</v>
      </c>
      <c r="EM13" s="4" t="str">
        <f>IF($DV$13="","",$FX$13)</f>
        <v/>
      </c>
      <c r="EN13" s="4" t="str">
        <f>IF($DW$13="","",$FY$13)</f>
        <v/>
      </c>
      <c r="EO13" s="4" t="str">
        <f>IF($DX$13="","",$FZ$13)</f>
        <v/>
      </c>
      <c r="EP13" s="4" t="str">
        <f>IF($DY$13="","",$GA$13)</f>
        <v/>
      </c>
      <c r="EQ13" s="4" t="str">
        <f>IF($DZ$13="","",$GB$13)</f>
        <v/>
      </c>
      <c r="ER13" s="4" t="str">
        <f>IF($EA$13="","",$GC$13)</f>
        <v/>
      </c>
      <c r="ES13" s="208"/>
      <c r="ET13" s="4" t="str">
        <f>IF($EC$13="","",$GE$13)</f>
        <v/>
      </c>
      <c r="EU13" s="4" t="str">
        <f>IF($ED$13="","",$GF$13)</f>
        <v/>
      </c>
      <c r="EV13" s="4" t="str">
        <f>IF($EE$13="","",$GG$13)</f>
        <v/>
      </c>
      <c r="EW13" s="4" t="str">
        <f>IF($EF$13="","",$GH$13)</f>
        <v/>
      </c>
      <c r="EX13" s="225" t="str">
        <f>IF($EG$13="","",$GI$13)</f>
        <v/>
      </c>
      <c r="EY13" s="230">
        <f>COUNTIF($EI$13:$EX$13,$EH$13)</f>
        <v>0</v>
      </c>
      <c r="FA13" s="130">
        <f t="shared" si="24"/>
        <v>15</v>
      </c>
      <c r="FB13" s="13" t="str">
        <f t="shared" si="25"/>
        <v>Harald Simon</v>
      </c>
      <c r="FC13" s="129">
        <f t="shared" si="39"/>
        <v>0</v>
      </c>
      <c r="FD13" s="129">
        <f t="shared" si="26"/>
        <v>0</v>
      </c>
      <c r="FE13" s="504">
        <v>0</v>
      </c>
      <c r="FF13" s="129">
        <f t="shared" si="40"/>
        <v>0</v>
      </c>
      <c r="FG13" s="483">
        <f t="shared" si="27"/>
        <v>4.0012204500000008</v>
      </c>
      <c r="FH13" s="483">
        <f t="shared" si="41"/>
        <v>4.0012204500000008</v>
      </c>
      <c r="FI13" s="176">
        <f t="shared" si="42"/>
        <v>4.0012204500000008</v>
      </c>
      <c r="FJ13" s="484">
        <f t="shared" si="28"/>
        <v>4.0012204500000008</v>
      </c>
      <c r="FK13" s="16">
        <f t="shared" si="29"/>
        <v>13</v>
      </c>
      <c r="FL13" s="710">
        <v>11</v>
      </c>
      <c r="FM13" s="710">
        <f t="shared" si="43"/>
        <v>4</v>
      </c>
      <c r="FN13" s="512"/>
      <c r="FO13" s="13" t="str">
        <f t="shared" si="44"/>
        <v>Daniel Henderson</v>
      </c>
      <c r="FP13" s="496">
        <f t="shared" si="47"/>
        <v>5</v>
      </c>
      <c r="FQ13" s="13">
        <f t="shared" si="30"/>
        <v>0</v>
      </c>
      <c r="FS13" s="215">
        <f>$AG$4</f>
        <v>15</v>
      </c>
      <c r="FT13" s="205">
        <f>IF($AB$14&gt;$AB$15,$FS$3,IF($AB$15&gt;$AB$14,$FS$13,""))</f>
        <v>15</v>
      </c>
      <c r="FU13" s="4">
        <f>IF($AB$32&gt;$AB$35,$FS$4,IF($AB$35&gt;$AB$32,$FS$13,""))</f>
        <v>3</v>
      </c>
      <c r="FV13" s="4">
        <f>IF($M$39&gt;$M$36,$FS$5,IF($M$36&gt;$M$39,$FS$13,""))</f>
        <v>10</v>
      </c>
      <c r="FW13" s="4">
        <f>IF($AQ$27&gt;$AQ$26,$FS$6,IF($AQ$26&gt;$AQ$27,$FS$13,""))</f>
        <v>6</v>
      </c>
      <c r="FX13" s="4">
        <f>IF($AQ$24&gt;$AQ$26,$FS$7,IF($AQ$26&gt;$AQ$24,$FS$13,""))</f>
        <v>14</v>
      </c>
      <c r="FY13" s="4">
        <f>IF($AB$12&gt;$AB$15,$FS$8,IF($AB$15&gt;$AB$12,$FS$13,""))</f>
        <v>15</v>
      </c>
      <c r="FZ13" s="4">
        <f>IF($M$38&gt;$M$36,$FS$9,IF($M$36&gt;$M$38,$FS$13,""))</f>
        <v>4</v>
      </c>
      <c r="GA13" s="4">
        <f>IF($AB$34&gt;$AB$35,$FS$10,IF($AB$35&gt;$AB$34,$FS$13,""))</f>
        <v>7</v>
      </c>
      <c r="GB13" s="4">
        <f>IF($M$22&gt;$M$21,$FS$11,IF($M$21&gt;$M$22,$FS$13,""))</f>
        <v>1</v>
      </c>
      <c r="GC13" s="4">
        <f>IF($M$20&gt;$M$21,$FS$12,IF($M$21&gt;$M$20,$FS$13,""))</f>
        <v>15</v>
      </c>
      <c r="GD13" s="208"/>
      <c r="GE13" s="4">
        <f>IF($M$21&gt;$M$23,$FS$13,IF($M$23&gt;$M$21,$FS$14,""))</f>
        <v>11</v>
      </c>
      <c r="GF13" s="4">
        <f>IF($AB$35&gt;$AB$33,$FS$13,IF($AB$33&gt;$AB$35,$FS$15,""))</f>
        <v>15</v>
      </c>
      <c r="GG13" s="4">
        <f>IF($AQ$26&gt;$AQ$25,$FS$13,IF($AQ$25&gt;$AQ$26,$FS$16,""))</f>
        <v>8</v>
      </c>
      <c r="GH13" s="4">
        <f>IF($M$36&gt;$M$37,$FS$13,IF($M$37&gt;$M$36,$FS$17,""))</f>
        <v>2</v>
      </c>
      <c r="GI13" s="211">
        <f>IF($AB$15&gt;$AB$13,$FS$13,IF($AB$13&gt;$AB$15,$FS$18,""))</f>
        <v>5</v>
      </c>
      <c r="GK13" s="8">
        <v>11</v>
      </c>
      <c r="GL13" s="205"/>
      <c r="GM13" s="4"/>
      <c r="GN13" s="4"/>
      <c r="GO13" s="4"/>
      <c r="GP13" s="225"/>
      <c r="GQ13" s="230">
        <f t="shared" si="46"/>
        <v>0</v>
      </c>
      <c r="GR13" s="601">
        <f t="shared" si="45"/>
        <v>0</v>
      </c>
      <c r="GW13" s="1144"/>
      <c r="GX13" s="230" t="str">
        <f>IF($N$12="","",IF($IW$13=$GX$3,$IX$13,IF(AND($H$13=$GX$3,$L$13&lt;&gt;""),$L$13,IF(AND($H$13=$GX$3,$L$13=""),$M$13,""))))</f>
        <v/>
      </c>
      <c r="GY13" s="301">
        <v>79</v>
      </c>
      <c r="GZ13" s="5" t="str">
        <f t="shared" ref="GZ13:GZ76" si="77">IF(GX13="","",GY13)</f>
        <v/>
      </c>
      <c r="HA13" s="95" t="str">
        <f t="shared" si="68"/>
        <v/>
      </c>
      <c r="HB13" s="5"/>
      <c r="HC13" s="95" t="str">
        <f t="shared" ref="HC13:HC76" si="78">IF(GX13="","",GX13)</f>
        <v/>
      </c>
      <c r="HG13" s="1144"/>
      <c r="HH13" s="230" t="str">
        <f>IF($N$12="","",IF($IW$13=$HH$3,$IX$13,IF(AND($H$13=$HH$3,$L$13&lt;&gt;""),$L$13,IF(AND($H$13=$HH$3,$L$13=""),$M$13,""))))</f>
        <v/>
      </c>
      <c r="HI13" s="301">
        <v>79</v>
      </c>
      <c r="HJ13" s="5" t="str">
        <f t="shared" ref="HJ13:HJ76" si="79">IF(HH13="","",HI13)</f>
        <v/>
      </c>
      <c r="HK13" s="95" t="str">
        <f t="shared" si="69"/>
        <v/>
      </c>
      <c r="HL13" s="5"/>
      <c r="HM13" s="95" t="str">
        <f t="shared" si="70"/>
        <v/>
      </c>
      <c r="HN13" s="1149"/>
      <c r="HO13" s="131" t="str">
        <f>IF($H13="",$D13,$H13)</f>
        <v>Dimitry Khomitsevich</v>
      </c>
      <c r="HP13" s="327"/>
      <c r="HQ13" s="327" t="str">
        <f>IF($L13="","",$L13)</f>
        <v/>
      </c>
      <c r="HR13" s="327">
        <v>0.03</v>
      </c>
      <c r="HS13" s="327">
        <f>IF($M13="","",SUM(HR13+$M13))</f>
        <v>3.03</v>
      </c>
      <c r="HT13" s="327">
        <f>RANK(HS13,HS12:HS15)</f>
        <v>1</v>
      </c>
      <c r="HU13" s="327" t="str">
        <f>IF(HQ13="",HO13,HO13&amp;" ("&amp;HQ13&amp;")")</f>
        <v>Dimitry Khomitsevich</v>
      </c>
      <c r="HV13" s="328">
        <v>2</v>
      </c>
      <c r="HW13" s="337" t="str">
        <f>IF(N12="","",VLOOKUP(HV13,HT12:HU15,2,FALSE))</f>
        <v>Franz Zorn</v>
      </c>
      <c r="HX13" s="1149"/>
      <c r="HY13" s="131" t="str">
        <f>IF($W13="",$S13,$W13)</f>
        <v>Stefan Svensson</v>
      </c>
      <c r="HZ13" s="327"/>
      <c r="IA13" s="327" t="str">
        <f>IF($AA13="","",$AA13)</f>
        <v/>
      </c>
      <c r="IB13" s="327">
        <v>0.03</v>
      </c>
      <c r="IC13" s="327">
        <f>IF($AB13="","",SUM(IB13+$AB13))</f>
        <v>3.03</v>
      </c>
      <c r="ID13" s="327">
        <f>RANK(IC13,IC12:IC15)</f>
        <v>1</v>
      </c>
      <c r="IE13" s="327" t="str">
        <f>IF(IA13="",HY13,HY13&amp;" ("&amp;IA13&amp;")")</f>
        <v>Stefan Svensson</v>
      </c>
      <c r="IF13" s="344">
        <v>2</v>
      </c>
      <c r="IG13" s="337" t="str">
        <f>IF(AC12="","",VLOOKUP(IF13,ID12:IE15,2,FALSE))</f>
        <v>Harald Simon</v>
      </c>
      <c r="IH13" s="1149"/>
      <c r="II13" s="131" t="str">
        <f>IF($AL13="",$AH13,$AL13)</f>
        <v>Gunter Bauer</v>
      </c>
      <c r="IJ13" s="327"/>
      <c r="IK13" s="327" t="str">
        <f>IF($AP13="","",$AP13)</f>
        <v/>
      </c>
      <c r="IL13" s="327">
        <v>0.03</v>
      </c>
      <c r="IM13" s="327">
        <f>IF($AQ13="","",SUM(IL13+$AQ13))</f>
        <v>2.0299999999999998</v>
      </c>
      <c r="IN13" s="327">
        <f>RANK(IM13,IM12:IM15)</f>
        <v>2</v>
      </c>
      <c r="IO13" s="327" t="str">
        <f>IF(IK13="",II13,II13&amp;" ("&amp;IK13&amp;")")</f>
        <v>Gunter Bauer</v>
      </c>
      <c r="IP13" s="344">
        <v>2</v>
      </c>
      <c r="IQ13" s="337" t="str">
        <f>IF(AR12="","",VLOOKUP(IP13,IN12:IO15,2,FALSE))</f>
        <v>Gunter Bauer</v>
      </c>
      <c r="IU13" s="1112"/>
      <c r="IV13" s="698"/>
      <c r="IW13" s="699" t="str">
        <f t="shared" si="71"/>
        <v/>
      </c>
      <c r="IX13" s="700"/>
      <c r="IZ13" s="1112"/>
      <c r="JA13" s="698"/>
      <c r="JB13" s="699" t="str">
        <f t="shared" si="72"/>
        <v/>
      </c>
      <c r="JC13" s="700"/>
      <c r="JE13" s="1112"/>
      <c r="JF13" s="698"/>
      <c r="JG13" s="699" t="str">
        <f t="shared" si="73"/>
        <v/>
      </c>
      <c r="JH13" s="700"/>
    </row>
    <row r="14" spans="1:268" ht="12.75" customHeight="1">
      <c r="A14" s="1212"/>
      <c r="B14" s="39">
        <v>3</v>
      </c>
      <c r="C14" s="102">
        <f>R$4</f>
        <v>10</v>
      </c>
      <c r="D14" s="517" t="str">
        <f>S$4</f>
        <v>Franz Zorn</v>
      </c>
      <c r="E14" s="1011"/>
      <c r="F14" s="525" t="str">
        <f t="shared" si="52"/>
        <v/>
      </c>
      <c r="G14" s="1020"/>
      <c r="H14" s="1198" t="str">
        <f t="shared" si="53"/>
        <v/>
      </c>
      <c r="I14" s="1198"/>
      <c r="J14" s="1198"/>
      <c r="K14" s="1198"/>
      <c r="L14" s="508"/>
      <c r="M14" s="146">
        <f>IF(N12="","",IF(N12="w",3,IF(N13="w",2,IF(N14="w",1,IF(N15="w",0,0)))))</f>
        <v>2</v>
      </c>
      <c r="N14" s="707" t="s">
        <v>222</v>
      </c>
      <c r="O14" s="268"/>
      <c r="P14" s="1212"/>
      <c r="Q14" s="39">
        <v>1</v>
      </c>
      <c r="R14" s="102">
        <f>R$2</f>
        <v>9</v>
      </c>
      <c r="S14" s="517" t="str">
        <f>S$2</f>
        <v>Per-Anders Lindstrom</v>
      </c>
      <c r="T14" s="1011"/>
      <c r="U14" s="525" t="str">
        <f>IF(T14&lt;&gt;"",T14,IF(V14&lt;&gt;"","N",""))</f>
        <v/>
      </c>
      <c r="V14" s="1020"/>
      <c r="W14" s="1198" t="str">
        <f t="shared" si="54"/>
        <v/>
      </c>
      <c r="X14" s="1198"/>
      <c r="Y14" s="1198"/>
      <c r="Z14" s="1198"/>
      <c r="AA14" s="508"/>
      <c r="AB14" s="146">
        <f>IF(AC12="","",IF(AC12="w",3,IF(AC13="w",2,IF(AC14="w",1,IF(AC15="w",0,0)))))</f>
        <v>1</v>
      </c>
      <c r="AC14" s="724" t="s">
        <v>221</v>
      </c>
      <c r="AD14" s="269"/>
      <c r="AE14" s="1212"/>
      <c r="AF14" s="39">
        <v>15</v>
      </c>
      <c r="AG14" s="102">
        <f>AG$8</f>
        <v>2</v>
      </c>
      <c r="AH14" s="517" t="str">
        <f>AH$8</f>
        <v>Dimitry Koltakov</v>
      </c>
      <c r="AI14" s="1011"/>
      <c r="AJ14" s="525" t="str">
        <f t="shared" si="55"/>
        <v/>
      </c>
      <c r="AK14" s="1020"/>
      <c r="AL14" s="1198" t="str">
        <f t="shared" si="56"/>
        <v/>
      </c>
      <c r="AM14" s="1198"/>
      <c r="AN14" s="1198"/>
      <c r="AO14" s="1198"/>
      <c r="AP14" s="508"/>
      <c r="AQ14" s="146">
        <f>IF(AR12="","",IF(AR12="w",3,IF(AR13="w",2,IF(AR14="w",1,IF(AR15="w",0,0)))))</f>
        <v>3</v>
      </c>
      <c r="AR14" s="724" t="s">
        <v>222</v>
      </c>
      <c r="AS14" s="268"/>
      <c r="AT14" s="195">
        <f t="shared" si="57"/>
        <v>3</v>
      </c>
      <c r="AU14" s="65" t="str">
        <f t="shared" si="58"/>
        <v/>
      </c>
      <c r="AV14" s="94" t="str">
        <f t="shared" si="59"/>
        <v>Daniil Ivanov</v>
      </c>
      <c r="AW14" s="3">
        <f t="shared" si="60"/>
        <v>3</v>
      </c>
      <c r="AX14" s="4">
        <f t="shared" si="61"/>
        <v>3</v>
      </c>
      <c r="AY14" s="4">
        <f t="shared" si="62"/>
        <v>3</v>
      </c>
      <c r="AZ14" s="4">
        <f t="shared" si="63"/>
        <v>2</v>
      </c>
      <c r="BA14" s="26">
        <f t="shared" si="64"/>
        <v>2</v>
      </c>
      <c r="BB14" s="189">
        <f t="shared" si="65"/>
        <v>13</v>
      </c>
      <c r="BD14" s="192">
        <f t="shared" si="66"/>
        <v>3</v>
      </c>
      <c r="BE14" s="493" t="str">
        <f t="shared" si="74"/>
        <v>Dimitry Khomitsevich</v>
      </c>
      <c r="BF14" s="95">
        <f t="shared" si="75"/>
        <v>18</v>
      </c>
      <c r="BG14"/>
      <c r="BH14" s="390">
        <f t="shared" si="76"/>
        <v>1</v>
      </c>
      <c r="BI14" s="974">
        <v>16</v>
      </c>
      <c r="BJ14" s="16">
        <f>IF(AR36&lt;&gt;"",22,0)</f>
        <v>22</v>
      </c>
      <c r="BK14" s="451">
        <v>14</v>
      </c>
      <c r="BN14" s="8">
        <f>$M14</f>
        <v>2</v>
      </c>
      <c r="BS14" s="8">
        <f>$AB14</f>
        <v>1</v>
      </c>
      <c r="BX14" s="8">
        <f>$AQ14</f>
        <v>3</v>
      </c>
      <c r="BY14" s="8"/>
      <c r="BZ14" s="16">
        <v>3</v>
      </c>
      <c r="CA14" s="16">
        <f t="shared" si="67"/>
        <v>10</v>
      </c>
      <c r="CB14" s="13">
        <v>3</v>
      </c>
      <c r="CC14" s="49">
        <f t="shared" si="4"/>
        <v>12</v>
      </c>
      <c r="CD14" s="50" t="str">
        <f t="shared" si="31"/>
        <v>=</v>
      </c>
      <c r="CE14" s="31">
        <v>12</v>
      </c>
      <c r="CF14" s="121">
        <f t="shared" si="5"/>
        <v>4</v>
      </c>
      <c r="CG14" s="126"/>
      <c r="CH14" s="74" t="str">
        <f t="shared" si="32"/>
        <v>Jan Klatovsky</v>
      </c>
      <c r="CI14" s="278">
        <f t="shared" si="6"/>
        <v>4.0012200000000009</v>
      </c>
      <c r="CJ14" s="85">
        <f t="shared" si="7"/>
        <v>1</v>
      </c>
      <c r="CK14" s="70">
        <f t="shared" si="8"/>
        <v>0</v>
      </c>
      <c r="CL14" s="70">
        <f t="shared" si="9"/>
        <v>0</v>
      </c>
      <c r="CM14" s="70">
        <f t="shared" si="10"/>
        <v>1</v>
      </c>
      <c r="CN14" s="86">
        <f t="shared" si="11"/>
        <v>2</v>
      </c>
      <c r="CO14" s="79">
        <f t="shared" si="33"/>
        <v>4</v>
      </c>
      <c r="CP14" s="52"/>
      <c r="CQ14" s="249"/>
      <c r="CR14" s="27">
        <f t="shared" si="12"/>
        <v>4</v>
      </c>
      <c r="CS14" s="258">
        <f>RANK(DP14,$DP$3:$DP$20)+COUNTIF(DP$3:DP14,DP14)-1</f>
        <v>5</v>
      </c>
      <c r="CT14" s="32">
        <f t="shared" si="49"/>
        <v>12</v>
      </c>
      <c r="CU14" s="423">
        <f>VLOOKUP(CW14,Draw!$B$3:$C$42,2,FALSE)</f>
        <v>11</v>
      </c>
      <c r="CV14" s="185">
        <f>VLOOKUP(CW14,Draw!$B$3:$C$42,2,FALSE)</f>
        <v>11</v>
      </c>
      <c r="CW14" s="33" t="str">
        <f t="shared" si="50"/>
        <v>Vitaly Khomitsevich</v>
      </c>
      <c r="CX14" s="4">
        <f t="shared" si="51"/>
        <v>2</v>
      </c>
      <c r="CY14" s="4">
        <f t="shared" si="51"/>
        <v>3</v>
      </c>
      <c r="CZ14" s="4">
        <f t="shared" si="51"/>
        <v>1</v>
      </c>
      <c r="DA14" s="4">
        <f t="shared" si="51"/>
        <v>2</v>
      </c>
      <c r="DB14" s="34">
        <f t="shared" si="51"/>
        <v>3</v>
      </c>
      <c r="DC14" s="250">
        <f t="shared" si="16"/>
        <v>11</v>
      </c>
      <c r="DD14" s="243">
        <f t="shared" si="17"/>
        <v>2</v>
      </c>
      <c r="DE14" s="236">
        <f t="shared" si="34"/>
        <v>0.02</v>
      </c>
      <c r="DF14" s="232">
        <f t="shared" si="18"/>
        <v>2</v>
      </c>
      <c r="DG14" s="234">
        <f t="shared" si="35"/>
        <v>2E-3</v>
      </c>
      <c r="DH14" s="232">
        <f t="shared" si="19"/>
        <v>1</v>
      </c>
      <c r="DI14" s="41">
        <f t="shared" si="36"/>
        <v>1E-4</v>
      </c>
      <c r="DJ14" s="271">
        <f t="shared" si="20"/>
        <v>0</v>
      </c>
      <c r="DK14" s="602">
        <f t="shared" si="37"/>
        <v>0</v>
      </c>
      <c r="DL14" s="281">
        <f t="shared" si="21"/>
        <v>0</v>
      </c>
      <c r="DM14" s="643">
        <f t="shared" si="48"/>
        <v>4.8999999999999997E-7</v>
      </c>
      <c r="DN14" s="284">
        <f t="shared" si="22"/>
        <v>11.0221</v>
      </c>
      <c r="DO14" s="284">
        <f t="shared" si="23"/>
        <v>11.0221</v>
      </c>
      <c r="DP14" s="647">
        <f t="shared" si="38"/>
        <v>11.02210049</v>
      </c>
      <c r="DQ14" s="594"/>
      <c r="DR14" s="205" t="str">
        <f>IF($DN$14=$DN$3,$CV$14,"")</f>
        <v/>
      </c>
      <c r="DS14" s="4" t="str">
        <f>IF($DN$14=$DN$4,$CV$14,"")</f>
        <v/>
      </c>
      <c r="DT14" s="4" t="str">
        <f>IF($DN$14=$DN$5,$CV$14,"")</f>
        <v/>
      </c>
      <c r="DU14" s="4" t="str">
        <f>IF($DN$14=$DN$6,$CV$14,"")</f>
        <v/>
      </c>
      <c r="DV14" s="4" t="str">
        <f>IF($DN$14=$DN$7,$CV$14,"")</f>
        <v/>
      </c>
      <c r="DW14" s="4" t="str">
        <f>IF($DN$14=$DN$8,$CV$14,"")</f>
        <v/>
      </c>
      <c r="DX14" s="4" t="str">
        <f>IF($DN$14=$DN$9,$CV$14,"")</f>
        <v/>
      </c>
      <c r="DY14" s="4" t="str">
        <f>IF($DN$14=$DN$10,$CV$14,"")</f>
        <v/>
      </c>
      <c r="DZ14" s="4" t="str">
        <f>IF($DN$14=$DN$11,$CV$14,"")</f>
        <v/>
      </c>
      <c r="EA14" s="4" t="str">
        <f>IF($DN$14=$DN$12,$CV$14,"")</f>
        <v/>
      </c>
      <c r="EB14" s="4" t="str">
        <f>IF($DN$14=$DN$13,$CV$14,"")</f>
        <v/>
      </c>
      <c r="EC14" s="208"/>
      <c r="ED14" s="4" t="str">
        <f>IF($DN$14=$DN$15,$CV$14,"")</f>
        <v/>
      </c>
      <c r="EE14" s="4" t="str">
        <f>IF($DN$14=$DN$16,$CV$14,"")</f>
        <v/>
      </c>
      <c r="EF14" s="4" t="str">
        <f>IF($DN$14=$DN$17,$CV$14,"")</f>
        <v/>
      </c>
      <c r="EG14" s="225" t="str">
        <f>IF($DN$14=$DN$18,$CV$14,"")</f>
        <v/>
      </c>
      <c r="EH14" s="215">
        <f>$AG$5</f>
        <v>11</v>
      </c>
      <c r="EI14" s="205" t="str">
        <f>IF($DR$14="","",$FT$14)</f>
        <v/>
      </c>
      <c r="EJ14" s="4" t="str">
        <f>IF($DS$14="","",$FU$14)</f>
        <v/>
      </c>
      <c r="EK14" s="4" t="str">
        <f>IF($DT$14="","",$FV$14)</f>
        <v/>
      </c>
      <c r="EL14" s="4" t="str">
        <f>IF($DU$14="","",$FW$14)</f>
        <v/>
      </c>
      <c r="EM14" s="4" t="str">
        <f>IF($DV$14="","",$FX$14)</f>
        <v/>
      </c>
      <c r="EN14" s="4" t="str">
        <f>IF($DW$14="","",$FY$14)</f>
        <v/>
      </c>
      <c r="EO14" s="4" t="str">
        <f>IF($DX$14="","",$FZ$14)</f>
        <v/>
      </c>
      <c r="EP14" s="4" t="str">
        <f>IF($DY$14="","",$GA$14)</f>
        <v/>
      </c>
      <c r="EQ14" s="4" t="str">
        <f>IF($DZ$14="","",$GB$14)</f>
        <v/>
      </c>
      <c r="ER14" s="4" t="str">
        <f>IF($EA$14="","",$GC$14)</f>
        <v/>
      </c>
      <c r="ES14" s="4" t="str">
        <f>IF($EB$14="","",$GD$14)</f>
        <v/>
      </c>
      <c r="ET14" s="208"/>
      <c r="EU14" s="4" t="str">
        <f>IF($ED$14="","",$GF$14)</f>
        <v/>
      </c>
      <c r="EV14" s="4" t="str">
        <f>IF($EE$14="","",$GG$14)</f>
        <v/>
      </c>
      <c r="EW14" s="4" t="str">
        <f>IF($EF$14="","",$GH$14)</f>
        <v/>
      </c>
      <c r="EX14" s="225" t="str">
        <f>IF($EG$14="","",$GI$14)</f>
        <v/>
      </c>
      <c r="EY14" s="230">
        <f>COUNTIF($EI$14:$EX$14,$EH$14)</f>
        <v>0</v>
      </c>
      <c r="FA14" s="130">
        <f t="shared" si="24"/>
        <v>11</v>
      </c>
      <c r="FB14" s="13" t="str">
        <f t="shared" si="25"/>
        <v>Vitaly Khomitsevich</v>
      </c>
      <c r="FC14" s="129">
        <f t="shared" si="39"/>
        <v>1</v>
      </c>
      <c r="FD14" s="129">
        <f t="shared" si="26"/>
        <v>0</v>
      </c>
      <c r="FE14" s="504">
        <v>0</v>
      </c>
      <c r="FF14" s="129">
        <f t="shared" si="40"/>
        <v>0</v>
      </c>
      <c r="FG14" s="483">
        <f t="shared" si="27"/>
        <v>12.02210049</v>
      </c>
      <c r="FH14" s="483">
        <f t="shared" si="41"/>
        <v>12.02210049</v>
      </c>
      <c r="FI14" s="176">
        <f t="shared" si="42"/>
        <v>12.02210049</v>
      </c>
      <c r="FJ14" s="484">
        <f t="shared" si="28"/>
        <v>12.02210049</v>
      </c>
      <c r="FK14" s="16">
        <f t="shared" si="29"/>
        <v>5</v>
      </c>
      <c r="FL14" s="710">
        <v>12</v>
      </c>
      <c r="FM14" s="710">
        <f t="shared" si="43"/>
        <v>12</v>
      </c>
      <c r="FN14" s="512"/>
      <c r="FO14" s="13" t="str">
        <f t="shared" si="44"/>
        <v>Jan Klatovsky</v>
      </c>
      <c r="FP14" s="496">
        <f t="shared" si="47"/>
        <v>4</v>
      </c>
      <c r="FQ14" s="13">
        <f t="shared" si="30"/>
        <v>0</v>
      </c>
      <c r="FS14" s="215">
        <f>$AG$5</f>
        <v>11</v>
      </c>
      <c r="FT14" s="205">
        <f>IF($AB$31&gt;$AB$29,$FS$3,IF($AB$29&gt;$AB$31,$FS$14,""))</f>
        <v>11</v>
      </c>
      <c r="FU14" s="4">
        <f>IF($AB$19&gt;$AB$16,$FS$4,IF($AB$16&gt;$AB$19,$FS$14,""))</f>
        <v>3</v>
      </c>
      <c r="FV14" s="4">
        <f>IF($AQ$20&gt;$AQ$21,$FS$5,IF($AQ$21&gt;$AQ$20,$FS$14,""))</f>
        <v>11</v>
      </c>
      <c r="FW14" s="4">
        <f>IF($M$40&gt;$M$42,$FS$6,IF($M$42&gt;$M$40,$FS$14,""))</f>
        <v>11</v>
      </c>
      <c r="FX14" s="4">
        <f>IF($AB$17&gt;$AB$16,$FS$7,IF($AB$16&gt;$AB$17,$FS$14,""))</f>
        <v>11</v>
      </c>
      <c r="FY14" s="4">
        <f>IF($AQ$23&gt;$AQ$21,$FS$8,IF($AQ$21&gt;$AQ$23,$FS$14,""))</f>
        <v>11</v>
      </c>
      <c r="FZ14" s="4">
        <f>IF($AB$28&gt;$AB$29,$FS$9,IF($AB$29&gt;$AB$28,$FS$14,""))</f>
        <v>4</v>
      </c>
      <c r="GA14" s="4">
        <f>IF($M$41&gt;$M$42,$FS$10,IF($M$42&gt;$M$41,$FS$14,""))</f>
        <v>11</v>
      </c>
      <c r="GB14" s="4">
        <f>IF($M$22&gt;$M$23,$FS$11,IF($M$23&gt;$M$22,$FS$14,""))</f>
        <v>1</v>
      </c>
      <c r="GC14" s="4">
        <f>IF($M$20&gt;$M$23,$FS$12,IF($M$23&gt;$M$20,$FS$14,""))</f>
        <v>11</v>
      </c>
      <c r="GD14" s="4">
        <f>IF($M$21&gt;$M$23,$FS$13,IF($M$23&gt;$M$21,$FS$14,""))</f>
        <v>11</v>
      </c>
      <c r="GE14" s="208"/>
      <c r="GF14" s="4">
        <f>IF($AQ$21&gt;$AQ$22,$FS$14,IF($AQ$22&gt;$AQ$21,$FS$15,""))</f>
        <v>11</v>
      </c>
      <c r="GG14" s="4">
        <f>IF($AB$29&gt;$AB$30,$FS$14,IF($AB$30&gt;$AB$29,$FS$16,""))</f>
        <v>11</v>
      </c>
      <c r="GH14" s="4">
        <f>IF($AB$16&gt;$AB$18,$FS$14,IF($AB$18&gt;$AB$16,$FS$17,""))</f>
        <v>2</v>
      </c>
      <c r="GI14" s="211">
        <f>IF($M$42&gt;$M$43,$FS$14,IF($M$43&gt;$M$42,$FS$18,""))</f>
        <v>11</v>
      </c>
      <c r="GK14" s="8">
        <v>12</v>
      </c>
      <c r="GL14" s="205"/>
      <c r="GM14" s="4"/>
      <c r="GN14" s="4"/>
      <c r="GO14" s="4"/>
      <c r="GP14" s="225"/>
      <c r="GQ14" s="230">
        <f t="shared" si="46"/>
        <v>0</v>
      </c>
      <c r="GR14" s="601">
        <f t="shared" si="45"/>
        <v>0</v>
      </c>
      <c r="GW14" s="1144"/>
      <c r="GX14" s="230" t="str">
        <f>IF($N$12="","",IF($IW$14=$GX$3,$IX$14,IF(AND($H$14=$GX$3,$L$14&lt;&gt;""),$L$14,IF(AND($H$14=$GX$3,$L$14=""),$M$14,""))))</f>
        <v/>
      </c>
      <c r="GY14" s="301">
        <v>78</v>
      </c>
      <c r="GZ14" s="5" t="str">
        <f t="shared" si="77"/>
        <v/>
      </c>
      <c r="HA14" s="95" t="str">
        <f t="shared" si="68"/>
        <v/>
      </c>
      <c r="HB14" s="5"/>
      <c r="HC14" s="95" t="str">
        <f t="shared" si="78"/>
        <v/>
      </c>
      <c r="HG14" s="1144"/>
      <c r="HH14" s="230" t="str">
        <f>IF($N$12="","",IF($IW$14=$HH$3,$IX$14,IF(AND($H$14=$HH$3,$L$14&lt;&gt;""),$L$14,IF(AND($H$14=$HH$3,$L$14=""),$M$14,""))))</f>
        <v/>
      </c>
      <c r="HI14" s="301">
        <v>78</v>
      </c>
      <c r="HJ14" s="5" t="str">
        <f t="shared" si="79"/>
        <v/>
      </c>
      <c r="HK14" s="95" t="str">
        <f t="shared" si="69"/>
        <v/>
      </c>
      <c r="HL14" s="5"/>
      <c r="HM14" s="95" t="str">
        <f t="shared" si="70"/>
        <v/>
      </c>
      <c r="HN14" s="1149"/>
      <c r="HO14" s="131" t="str">
        <f>IF($H14="",$D14,$H14)</f>
        <v>Franz Zorn</v>
      </c>
      <c r="HP14" s="327"/>
      <c r="HQ14" s="327" t="str">
        <f>IF($L14="","",$L14)</f>
        <v/>
      </c>
      <c r="HR14" s="327">
        <v>0.02</v>
      </c>
      <c r="HS14" s="327">
        <f>IF($M14="","",SUM(HR14+$M14))</f>
        <v>2.02</v>
      </c>
      <c r="HT14" s="327">
        <f>RANK(HS14,HS12:HS15)</f>
        <v>2</v>
      </c>
      <c r="HU14" s="327" t="str">
        <f>IF(HQ14="",HO14,HO14&amp;" ("&amp;HQ14&amp;")")</f>
        <v>Franz Zorn</v>
      </c>
      <c r="HV14" s="328">
        <v>3</v>
      </c>
      <c r="HW14" s="337" t="str">
        <f>IF(N12="","",VLOOKUP(HV14,HT12:HU15,2,FALSE))</f>
        <v>Jan Klatovsky</v>
      </c>
      <c r="HX14" s="1149"/>
      <c r="HY14" s="131" t="str">
        <f>IF($W14="",$S14,$W14)</f>
        <v>Per-Anders Lindstrom</v>
      </c>
      <c r="HZ14" s="327"/>
      <c r="IA14" s="327" t="str">
        <f>IF($AA14="","",$AA14)</f>
        <v/>
      </c>
      <c r="IB14" s="327">
        <v>0.02</v>
      </c>
      <c r="IC14" s="327">
        <f>IF($AB14="","",SUM(IB14+$AB14))</f>
        <v>1.02</v>
      </c>
      <c r="ID14" s="327">
        <f>RANK(IC14,IC12:IC15)</f>
        <v>3</v>
      </c>
      <c r="IE14" s="327" t="str">
        <f>IF(IA14="",HY14,HY14&amp;" ("&amp;IA14&amp;")")</f>
        <v>Per-Anders Lindstrom</v>
      </c>
      <c r="IF14" s="344">
        <v>3</v>
      </c>
      <c r="IG14" s="337" t="str">
        <f>IF(AC12="","",VLOOKUP(IF14,ID12:IE15,2,FALSE))</f>
        <v>Per-Anders Lindstrom</v>
      </c>
      <c r="IH14" s="1149"/>
      <c r="II14" s="131" t="str">
        <f>IF($AL14="",$AH14,$AL14)</f>
        <v>Dimitry Koltakov</v>
      </c>
      <c r="IJ14" s="327"/>
      <c r="IK14" s="327" t="str">
        <f>IF($AP14="","",$AP14)</f>
        <v/>
      </c>
      <c r="IL14" s="327">
        <v>0.02</v>
      </c>
      <c r="IM14" s="327">
        <f>IF($AQ14="","",SUM(IL14+$AQ14))</f>
        <v>3.02</v>
      </c>
      <c r="IN14" s="327">
        <f>RANK(IM14,IM12:IM15)</f>
        <v>1</v>
      </c>
      <c r="IO14" s="327" t="str">
        <f>IF(IK14="",II14,II14&amp;" ("&amp;IK14&amp;")")</f>
        <v>Dimitry Koltakov</v>
      </c>
      <c r="IP14" s="344">
        <v>3</v>
      </c>
      <c r="IQ14" s="337" t="str">
        <f>IF(AR12="","",VLOOKUP(IP14,IN12:IO15,2,FALSE))</f>
        <v>Hans Weber</v>
      </c>
      <c r="IU14" s="1112"/>
      <c r="IV14" s="701"/>
      <c r="IW14" s="699" t="str">
        <f t="shared" si="71"/>
        <v/>
      </c>
      <c r="IX14" s="700"/>
      <c r="IZ14" s="1112"/>
      <c r="JA14" s="701"/>
      <c r="JB14" s="699" t="str">
        <f t="shared" si="72"/>
        <v/>
      </c>
      <c r="JC14" s="700"/>
      <c r="JE14" s="1112"/>
      <c r="JF14" s="701"/>
      <c r="JG14" s="699" t="str">
        <f t="shared" si="73"/>
        <v/>
      </c>
      <c r="JH14" s="700"/>
    </row>
    <row r="15" spans="1:268" ht="12.75" customHeight="1" thickBot="1">
      <c r="A15" s="918" t="s">
        <v>405</v>
      </c>
      <c r="B15" s="330">
        <v>4</v>
      </c>
      <c r="C15" s="107">
        <f>R$5</f>
        <v>6</v>
      </c>
      <c r="D15" s="518" t="str">
        <f>S$5</f>
        <v>Jan Klatovsky</v>
      </c>
      <c r="E15" s="1012"/>
      <c r="F15" s="526" t="str">
        <f t="shared" si="52"/>
        <v/>
      </c>
      <c r="G15" s="1021"/>
      <c r="H15" s="1197" t="str">
        <f t="shared" si="53"/>
        <v/>
      </c>
      <c r="I15" s="1197"/>
      <c r="J15" s="1197"/>
      <c r="K15" s="1197"/>
      <c r="L15" s="509"/>
      <c r="M15" s="149">
        <f>IF(N12="","",IF(N12="y",3,IF(N13="y",2,IF(N14="y",1,IF(N15="y",0,0)))))</f>
        <v>1</v>
      </c>
      <c r="N15" s="708" t="s">
        <v>12</v>
      </c>
      <c r="O15" s="268"/>
      <c r="P15" s="918" t="s">
        <v>409</v>
      </c>
      <c r="Q15" s="330">
        <v>11</v>
      </c>
      <c r="R15" s="107">
        <f>AG$4</f>
        <v>15</v>
      </c>
      <c r="S15" s="518" t="str">
        <f>AH$4</f>
        <v>Harald Simon</v>
      </c>
      <c r="T15" s="1012"/>
      <c r="U15" s="526" t="str">
        <f>IF(T15&lt;&gt;"",T15,IF(V15&lt;&gt;"","N",""))</f>
        <v/>
      </c>
      <c r="V15" s="1021"/>
      <c r="W15" s="1197" t="str">
        <f t="shared" si="54"/>
        <v/>
      </c>
      <c r="X15" s="1197"/>
      <c r="Y15" s="1197"/>
      <c r="Z15" s="1197"/>
      <c r="AA15" s="509"/>
      <c r="AB15" s="149">
        <f>IF(AC12="","",IF(AC12="y",3,IF(AC13="y",2,IF(AC14="y",1,IF(AC15="y",0,0)))))</f>
        <v>2</v>
      </c>
      <c r="AC15" s="725" t="s">
        <v>12</v>
      </c>
      <c r="AD15" s="269"/>
      <c r="AE15" s="918" t="s">
        <v>417</v>
      </c>
      <c r="AF15" s="330">
        <v>10</v>
      </c>
      <c r="AG15" s="107">
        <f>AG$3</f>
        <v>12</v>
      </c>
      <c r="AH15" s="518" t="str">
        <f>AH$3</f>
        <v>Hans Weber</v>
      </c>
      <c r="AI15" s="1012"/>
      <c r="AJ15" s="526" t="str">
        <f t="shared" si="55"/>
        <v/>
      </c>
      <c r="AK15" s="1021"/>
      <c r="AL15" s="1197" t="str">
        <f t="shared" si="56"/>
        <v/>
      </c>
      <c r="AM15" s="1197"/>
      <c r="AN15" s="1197"/>
      <c r="AO15" s="1197"/>
      <c r="AP15" s="509"/>
      <c r="AQ15" s="149">
        <f>IF(AR12="","",IF(AR12="y",3,IF(AR13="y",2,IF(AR14="y",1,IF(AR15="y",0,0)))))</f>
        <v>1</v>
      </c>
      <c r="AR15" s="725" t="s">
        <v>12</v>
      </c>
      <c r="AS15" s="268"/>
      <c r="AT15" s="195">
        <f t="shared" si="57"/>
        <v>4</v>
      </c>
      <c r="AU15" s="65" t="str">
        <f t="shared" si="58"/>
        <v/>
      </c>
      <c r="AV15" s="94" t="str">
        <f t="shared" si="59"/>
        <v>Igor Kononov</v>
      </c>
      <c r="AW15" s="3">
        <f t="shared" si="60"/>
        <v>3</v>
      </c>
      <c r="AX15" s="4">
        <f t="shared" si="61"/>
        <v>2</v>
      </c>
      <c r="AY15" s="4">
        <f t="shared" si="62"/>
        <v>3</v>
      </c>
      <c r="AZ15" s="4">
        <f t="shared" si="63"/>
        <v>3</v>
      </c>
      <c r="BA15" s="26">
        <f t="shared" si="64"/>
        <v>1</v>
      </c>
      <c r="BB15" s="189">
        <f t="shared" si="65"/>
        <v>12</v>
      </c>
      <c r="BD15" s="193">
        <f t="shared" si="66"/>
        <v>4</v>
      </c>
      <c r="BE15" s="494" t="str">
        <f t="shared" si="74"/>
        <v>Igor Kononov</v>
      </c>
      <c r="BF15" s="98">
        <f t="shared" si="75"/>
        <v>14</v>
      </c>
      <c r="BG15"/>
      <c r="BH15" s="390">
        <f t="shared" si="76"/>
        <v>1</v>
      </c>
      <c r="BI15" s="974">
        <v>15</v>
      </c>
      <c r="BJ15" s="16">
        <f>IF(AR40&lt;&gt;"",23,0)</f>
        <v>23</v>
      </c>
      <c r="BK15" s="451">
        <v>13</v>
      </c>
      <c r="BO15" s="8">
        <f>$M15</f>
        <v>1</v>
      </c>
      <c r="BT15" s="8">
        <f>$AB15</f>
        <v>2</v>
      </c>
      <c r="BY15" s="8">
        <f>$AQ15</f>
        <v>1</v>
      </c>
      <c r="BZ15" s="16">
        <v>4</v>
      </c>
      <c r="CA15" s="16">
        <f t="shared" si="67"/>
        <v>4</v>
      </c>
      <c r="CB15" s="13">
        <v>4</v>
      </c>
      <c r="CC15" s="49">
        <f t="shared" si="4"/>
        <v>12</v>
      </c>
      <c r="CD15" s="50" t="str">
        <f t="shared" si="31"/>
        <v>=</v>
      </c>
      <c r="CE15" s="22">
        <v>13</v>
      </c>
      <c r="CF15" s="121">
        <f t="shared" si="5"/>
        <v>11</v>
      </c>
      <c r="CG15" s="126"/>
      <c r="CH15" s="74" t="str">
        <f t="shared" si="32"/>
        <v>Harald Simon</v>
      </c>
      <c r="CI15" s="278">
        <f t="shared" si="6"/>
        <v>4.0012200000000009</v>
      </c>
      <c r="CJ15" s="85">
        <f t="shared" si="7"/>
        <v>1</v>
      </c>
      <c r="CK15" s="70">
        <f t="shared" si="8"/>
        <v>0</v>
      </c>
      <c r="CL15" s="70">
        <f t="shared" si="9"/>
        <v>2</v>
      </c>
      <c r="CM15" s="70">
        <f t="shared" si="10"/>
        <v>1</v>
      </c>
      <c r="CN15" s="86">
        <f t="shared" si="11"/>
        <v>0</v>
      </c>
      <c r="CO15" s="79">
        <f t="shared" si="33"/>
        <v>4</v>
      </c>
      <c r="CP15" s="52"/>
      <c r="CQ15" s="249"/>
      <c r="CR15" s="27">
        <f t="shared" si="12"/>
        <v>11</v>
      </c>
      <c r="CS15" s="258">
        <f>RANK(DP15,$DP$3:$DP$20)+COUNTIF(DP$3:DP15,DP15)-1</f>
        <v>11</v>
      </c>
      <c r="CT15" s="32">
        <f t="shared" si="49"/>
        <v>13</v>
      </c>
      <c r="CU15" s="423">
        <f>VLOOKUP(CW15,Draw!$B$3:$C$42,2,FALSE)</f>
        <v>19</v>
      </c>
      <c r="CV15" s="185">
        <f>VLOOKUP(CW15,Draw!$B$3:$C$42,2,FALSE)</f>
        <v>19</v>
      </c>
      <c r="CW15" s="33" t="str">
        <f t="shared" si="50"/>
        <v>Daniel Henderson</v>
      </c>
      <c r="CX15" s="4">
        <f t="shared" si="51"/>
        <v>1</v>
      </c>
      <c r="CY15" s="4">
        <f t="shared" si="51"/>
        <v>2</v>
      </c>
      <c r="CZ15" s="4">
        <f t="shared" si="51"/>
        <v>1</v>
      </c>
      <c r="DA15" s="4">
        <f t="shared" si="51"/>
        <v>0</v>
      </c>
      <c r="DB15" s="34">
        <f t="shared" si="51"/>
        <v>1</v>
      </c>
      <c r="DC15" s="250">
        <f t="shared" si="16"/>
        <v>5</v>
      </c>
      <c r="DD15" s="243">
        <f t="shared" si="17"/>
        <v>0</v>
      </c>
      <c r="DE15" s="236">
        <f t="shared" si="34"/>
        <v>0</v>
      </c>
      <c r="DF15" s="232">
        <f t="shared" si="18"/>
        <v>1</v>
      </c>
      <c r="DG15" s="234">
        <f t="shared" si="35"/>
        <v>1E-3</v>
      </c>
      <c r="DH15" s="232">
        <f t="shared" si="19"/>
        <v>3</v>
      </c>
      <c r="DI15" s="41">
        <f t="shared" si="36"/>
        <v>2.9999999999999997E-4</v>
      </c>
      <c r="DJ15" s="271">
        <f t="shared" si="20"/>
        <v>1</v>
      </c>
      <c r="DK15" s="602">
        <f t="shared" si="37"/>
        <v>1.0000000000000001E-5</v>
      </c>
      <c r="DL15" s="281">
        <f t="shared" si="21"/>
        <v>0</v>
      </c>
      <c r="DM15" s="644">
        <f t="shared" si="48"/>
        <v>4.0999999999999999E-7</v>
      </c>
      <c r="DN15" s="285">
        <f t="shared" si="22"/>
        <v>5.0013100000000001</v>
      </c>
      <c r="DO15" s="285">
        <f t="shared" si="23"/>
        <v>5.0013100000000001</v>
      </c>
      <c r="DP15" s="648">
        <f t="shared" si="38"/>
        <v>5.0013104100000003</v>
      </c>
      <c r="DQ15" s="595"/>
      <c r="DR15" s="205" t="str">
        <f>IF($DN$15=$DN$3,$CV$15,"")</f>
        <v/>
      </c>
      <c r="DS15" s="4" t="str">
        <f>IF($DN$15=$DN$4,$CV$15,"")</f>
        <v/>
      </c>
      <c r="DT15" s="4" t="str">
        <f>IF($DN$15=$DN$5,$CV$15,"")</f>
        <v/>
      </c>
      <c r="DU15" s="4" t="str">
        <f>IF($DN$15=$DN$6,$CV$15,"")</f>
        <v/>
      </c>
      <c r="DV15" s="4" t="str">
        <f>IF($DN$15=$DN$7,$CV$15,"")</f>
        <v/>
      </c>
      <c r="DW15" s="4" t="str">
        <f>IF($DN$15=$DN$8,$CV$15,"")</f>
        <v/>
      </c>
      <c r="DX15" s="4" t="str">
        <f>IF($DN$15=$DN$9,$CV$15,"")</f>
        <v/>
      </c>
      <c r="DY15" s="4" t="str">
        <f>IF($DN$15=$DN$10,$CV$15,"")</f>
        <v/>
      </c>
      <c r="DZ15" s="4" t="str">
        <f>IF($DN$15=$DN$11,$CV$15,"")</f>
        <v/>
      </c>
      <c r="EA15" s="4" t="str">
        <f>IF($DN$15=$DN$12,$CV$15,"")</f>
        <v/>
      </c>
      <c r="EB15" s="4" t="str">
        <f>IF($DN$15=$DN$13,$CV$15,"")</f>
        <v/>
      </c>
      <c r="EC15" s="4" t="str">
        <f>IF($DN$15=$DN$14,$CV$15,"")</f>
        <v/>
      </c>
      <c r="ED15" s="208"/>
      <c r="EE15" s="4" t="str">
        <f>IF($DN$15=$DN$16,$CV$15,"")</f>
        <v/>
      </c>
      <c r="EF15" s="4" t="str">
        <f>IF($DN$15=$DN$17,$CV$15,"")</f>
        <v/>
      </c>
      <c r="EG15" s="225" t="str">
        <f>IF($DN$15=$DN$18,$CV$15,"")</f>
        <v/>
      </c>
      <c r="EH15" s="215">
        <f>$AG$6</f>
        <v>19</v>
      </c>
      <c r="EI15" s="205" t="str">
        <f>IF($DR$15="","",$FT$15)</f>
        <v/>
      </c>
      <c r="EJ15" s="4" t="str">
        <f>IF($DS$15="","",$FU$15)</f>
        <v/>
      </c>
      <c r="EK15" s="4" t="str">
        <f>IF($DT$15="","",$FV$15)</f>
        <v/>
      </c>
      <c r="EL15" s="4" t="str">
        <f>IF($DU$15="","",$FW$15)</f>
        <v/>
      </c>
      <c r="EM15" s="4" t="str">
        <f>IF($DV$15="","",$FX$15)</f>
        <v/>
      </c>
      <c r="EN15" s="4" t="str">
        <f>IF($DW$15="","",$FY$15)</f>
        <v/>
      </c>
      <c r="EO15" s="4" t="str">
        <f>IF($DX$15="","",$FZ$15)</f>
        <v/>
      </c>
      <c r="EP15" s="4" t="str">
        <f>IF($DY$15="","",$GA$15)</f>
        <v/>
      </c>
      <c r="EQ15" s="4" t="str">
        <f>IF($DZ$15="","",$GB$15)</f>
        <v/>
      </c>
      <c r="ER15" s="4" t="str">
        <f>IF($EA$15="","",$GC$15)</f>
        <v/>
      </c>
      <c r="ES15" s="4" t="str">
        <f>IF($EB$15="","",$GD$15)</f>
        <v/>
      </c>
      <c r="ET15" s="4" t="str">
        <f>IF($EC$15="","",$GE$15)</f>
        <v/>
      </c>
      <c r="EU15" s="208"/>
      <c r="EV15" s="4" t="str">
        <f>IF($EE$15="","",$GG$15)</f>
        <v/>
      </c>
      <c r="EW15" s="4" t="str">
        <f>IF($EF$15="","",$GH$15)</f>
        <v/>
      </c>
      <c r="EX15" s="225" t="str">
        <f>IF($EG$15="","",$GI$15)</f>
        <v/>
      </c>
      <c r="EY15" s="230">
        <f>COUNTIF($EI$15:$EX$15,$EH$15)</f>
        <v>0</v>
      </c>
      <c r="FA15" s="130">
        <f t="shared" si="24"/>
        <v>19</v>
      </c>
      <c r="FB15" s="13" t="str">
        <f t="shared" si="25"/>
        <v>Daniel Henderson</v>
      </c>
      <c r="FC15" s="129">
        <f t="shared" si="39"/>
        <v>0</v>
      </c>
      <c r="FD15" s="129">
        <f t="shared" si="26"/>
        <v>0</v>
      </c>
      <c r="FE15" s="504">
        <v>0</v>
      </c>
      <c r="FF15" s="129">
        <f t="shared" si="40"/>
        <v>0</v>
      </c>
      <c r="FG15" s="483">
        <f t="shared" si="27"/>
        <v>5.0013104100000003</v>
      </c>
      <c r="FH15" s="483">
        <f t="shared" si="41"/>
        <v>5.0013104100000003</v>
      </c>
      <c r="FI15" s="176">
        <f t="shared" si="42"/>
        <v>5.0013104100000003</v>
      </c>
      <c r="FJ15" s="484">
        <f t="shared" si="28"/>
        <v>5.0013104100000003</v>
      </c>
      <c r="FK15" s="16">
        <f t="shared" si="29"/>
        <v>11</v>
      </c>
      <c r="FL15" s="710">
        <v>13</v>
      </c>
      <c r="FM15" s="710">
        <f t="shared" si="43"/>
        <v>5</v>
      </c>
      <c r="FN15" s="512"/>
      <c r="FO15" s="13" t="str">
        <f t="shared" si="44"/>
        <v>Harald Simon</v>
      </c>
      <c r="FP15" s="496">
        <f t="shared" si="47"/>
        <v>4</v>
      </c>
      <c r="FQ15" s="13">
        <f t="shared" si="30"/>
        <v>0</v>
      </c>
      <c r="FS15" s="215">
        <f>$AG$6</f>
        <v>19</v>
      </c>
      <c r="FT15" s="205">
        <f>IF($M$29&gt;$M$28,$FS$3,IF($M$28&gt;$M$29,$FS$15,""))</f>
        <v>19</v>
      </c>
      <c r="FU15" s="4">
        <f>IF($AB$32&gt;$AB$33,$FS$4,IF($AB$33&gt;$AB$32,$FS$15,""))</f>
        <v>3</v>
      </c>
      <c r="FV15" s="4">
        <f>IF($AQ$20&gt;$AQ$22,$FS$5,IF($AQ$22&gt;$AQ$20,$FS$15,""))</f>
        <v>10</v>
      </c>
      <c r="FW15" s="4">
        <f>IF($AB$25&gt;$AB$24,$FS$6,IF($AB$24&gt;$AB$25,$FS$15,""))</f>
        <v>19</v>
      </c>
      <c r="FX15" s="4">
        <f>IF($M$30&gt;$M$28,$FS$7,IF($M$28&gt;$M$30,$FS$15,""))</f>
        <v>19</v>
      </c>
      <c r="FY15" s="4">
        <f>IF($AQ$23&gt;$AQ$22,$FS$8,IF($AQ$22&gt;$AQ$23,$FS$15,""))</f>
        <v>19</v>
      </c>
      <c r="FZ15" s="4">
        <f>IF($AB$27&gt;$AB$24,$FS$9,IF($AB$24&gt;$AB$27,$FS$15,""))</f>
        <v>4</v>
      </c>
      <c r="GA15" s="4">
        <f>IF($AB$34&gt;$AB$33,$FS$10,IF($AB$33&gt;$AB$34,$FS$15,""))</f>
        <v>7</v>
      </c>
      <c r="GB15" s="4">
        <f>IF($M$31&gt;$M$28,$FS$11,IF($M$28&gt;$M$31,$FS$15,""))</f>
        <v>1</v>
      </c>
      <c r="GC15" s="4">
        <f>IF($AB$26&gt;$AB$24,$FS$12,IF($AB$24&gt;$AB$26,$FS$15,""))</f>
        <v>12</v>
      </c>
      <c r="GD15" s="4">
        <f>IF($AB$35&gt;$AB$33,$FS$13,IF($AB$33&gt;$AB$35,$FS$15,""))</f>
        <v>15</v>
      </c>
      <c r="GE15" s="4">
        <f>IF($AQ$21&gt;$AQ$22,$FS$14,IF($AQ$22&gt;$AQ$21,$FS$15,""))</f>
        <v>11</v>
      </c>
      <c r="GF15" s="208"/>
      <c r="GG15" s="4">
        <f>IF($M$27&gt;$M$25,$FS$15,IF($M$25&gt;$M$27,$FS$16))</f>
        <v>19</v>
      </c>
      <c r="GH15" s="4">
        <f>IF($M$27&gt;$M$24,$FS$15,IF($M$24&gt;$M$27,$FS$17,""))</f>
        <v>2</v>
      </c>
      <c r="GI15" s="211">
        <f>IF($M$27&gt;$M$26,$FS$15,IF($M$26&gt;$M$27,$FS$18,""))</f>
        <v>5</v>
      </c>
      <c r="GK15" s="8">
        <v>13</v>
      </c>
      <c r="GL15" s="205"/>
      <c r="GM15" s="4"/>
      <c r="GN15" s="4"/>
      <c r="GO15" s="4"/>
      <c r="GP15" s="225"/>
      <c r="GQ15" s="230">
        <f t="shared" si="46"/>
        <v>0</v>
      </c>
      <c r="GR15" s="601">
        <f t="shared" si="45"/>
        <v>0</v>
      </c>
      <c r="GW15" s="1145"/>
      <c r="GX15" s="231" t="str">
        <f>IF($N$12="","",IF($IW$15=$GX$3,$IX$15,IF(AND($H$15=$GX$3,$L$15&lt;&gt;""),$L$15,IF(AND($H$15=$GX$3,$L$15=""),$M$15,""))))</f>
        <v/>
      </c>
      <c r="GY15" s="302">
        <v>77</v>
      </c>
      <c r="GZ15" s="303" t="str">
        <f t="shared" si="77"/>
        <v/>
      </c>
      <c r="HA15" s="98" t="str">
        <f t="shared" si="68"/>
        <v/>
      </c>
      <c r="HB15" s="303"/>
      <c r="HC15" s="98" t="str">
        <f t="shared" si="78"/>
        <v/>
      </c>
      <c r="HG15" s="1145"/>
      <c r="HH15" s="231" t="str">
        <f>IF($N$12="","",IF($IW$15=$HH$3,$IX$15,IF(AND($H$15=$HH$3,$L$15&lt;&gt;""),$L$15,IF(AND($H$15=$HH$3,$L$15=""),$M$15,""))))</f>
        <v/>
      </c>
      <c r="HI15" s="302">
        <v>77</v>
      </c>
      <c r="HJ15" s="303" t="str">
        <f t="shared" si="79"/>
        <v/>
      </c>
      <c r="HK15" s="98" t="str">
        <f t="shared" si="69"/>
        <v/>
      </c>
      <c r="HL15" s="303"/>
      <c r="HM15" s="98" t="str">
        <f t="shared" si="70"/>
        <v/>
      </c>
      <c r="HN15" s="1150"/>
      <c r="HO15" s="131" t="str">
        <f>IF($H15="",$D15,$H15)</f>
        <v>Jan Klatovsky</v>
      </c>
      <c r="HP15" s="327"/>
      <c r="HQ15" s="327" t="str">
        <f>IF($L15="","",$L15)</f>
        <v/>
      </c>
      <c r="HR15" s="327">
        <v>0.01</v>
      </c>
      <c r="HS15" s="327">
        <f>IF($M15="","",SUM(HR15+$M15))</f>
        <v>1.01</v>
      </c>
      <c r="HT15" s="327">
        <f>RANK(HS15,HS12:HS15)</f>
        <v>3</v>
      </c>
      <c r="HU15" s="327" t="str">
        <f>IF(HQ15="",HO15,HO15&amp;" ("&amp;HQ15&amp;")")</f>
        <v>Jan Klatovsky</v>
      </c>
      <c r="HV15" s="328">
        <v>4</v>
      </c>
      <c r="HW15" s="337" t="str">
        <f>IF(N12="","",VLOOKUP(HV15,HT12:HU15,2,FALSE))</f>
        <v>Per-Anders Lindstrom</v>
      </c>
      <c r="HX15" s="1150">
        <v>9</v>
      </c>
      <c r="HY15" s="131" t="str">
        <f>IF($W15="",$S15,$W15)</f>
        <v>Harald Simon</v>
      </c>
      <c r="HZ15" s="327"/>
      <c r="IA15" s="327" t="str">
        <f>IF($AA15="","",$AA15)</f>
        <v/>
      </c>
      <c r="IB15" s="327">
        <v>0.01</v>
      </c>
      <c r="IC15" s="327">
        <f>IF($AB15="","",SUM(IB15+$AB15))</f>
        <v>2.0099999999999998</v>
      </c>
      <c r="ID15" s="327">
        <f>RANK(IC15,IC12:IC15)</f>
        <v>2</v>
      </c>
      <c r="IE15" s="327" t="str">
        <f>IF(IA15="",HY15,HY15&amp;" ("&amp;IA15&amp;")")</f>
        <v>Harald Simon</v>
      </c>
      <c r="IF15" s="344">
        <v>4</v>
      </c>
      <c r="IG15" s="337" t="str">
        <f>IF(AC12="","",VLOOKUP(IF15,ID12:IE15,2,FALSE))</f>
        <v>Simon Reitsma</v>
      </c>
      <c r="IH15" s="1150">
        <v>17</v>
      </c>
      <c r="II15" s="131" t="str">
        <f>IF($AL15="",$AH15,$AL15)</f>
        <v>Hans Weber</v>
      </c>
      <c r="IJ15" s="327"/>
      <c r="IK15" s="327" t="str">
        <f>IF($AP15="","",$AP15)</f>
        <v/>
      </c>
      <c r="IL15" s="327">
        <v>0.01</v>
      </c>
      <c r="IM15" s="327">
        <f>IF($AQ15="","",SUM(IL15+$AQ15))</f>
        <v>1.01</v>
      </c>
      <c r="IN15" s="327">
        <f>RANK(IM15,IM12:IM15)</f>
        <v>3</v>
      </c>
      <c r="IO15" s="327" t="str">
        <f>IF(IK15="",II15,II15&amp;" ("&amp;IK15&amp;")")</f>
        <v>Hans Weber</v>
      </c>
      <c r="IP15" s="344">
        <v>4</v>
      </c>
      <c r="IQ15" s="337" t="str">
        <f>IF(AR12="","",VLOOKUP(IP15,IN12:IO15,2,FALSE))</f>
        <v>Per-Anders Lindstrom</v>
      </c>
      <c r="IU15" s="1113"/>
      <c r="IV15" s="702"/>
      <c r="IW15" s="703" t="str">
        <f t="shared" si="71"/>
        <v/>
      </c>
      <c r="IX15" s="704"/>
      <c r="IZ15" s="1113"/>
      <c r="JA15" s="702"/>
      <c r="JB15" s="703" t="str">
        <f t="shared" si="72"/>
        <v/>
      </c>
      <c r="JC15" s="704"/>
      <c r="JE15" s="1113"/>
      <c r="JF15" s="702"/>
      <c r="JG15" s="703" t="str">
        <f t="shared" si="73"/>
        <v/>
      </c>
      <c r="JH15" s="704"/>
    </row>
    <row r="16" spans="1:268" ht="12.75" customHeight="1" thickBot="1">
      <c r="A16" s="1211">
        <v>2</v>
      </c>
      <c r="B16" s="329">
        <v>5</v>
      </c>
      <c r="C16" s="106">
        <f>R$6</f>
        <v>14</v>
      </c>
      <c r="D16" s="516" t="str">
        <f>S$6</f>
        <v>Antonin Klatovsky</v>
      </c>
      <c r="E16" s="1010"/>
      <c r="F16" s="524" t="str">
        <f t="shared" si="52"/>
        <v/>
      </c>
      <c r="G16" s="1018"/>
      <c r="H16" s="1210" t="str">
        <f t="shared" si="53"/>
        <v/>
      </c>
      <c r="I16" s="1210"/>
      <c r="J16" s="1210"/>
      <c r="K16" s="1210"/>
      <c r="L16" s="510"/>
      <c r="M16" s="93">
        <f>IF(N16="","",IF(N16="R",3,IF(N17="R",2,IF(N18="R",1,IF(N19="R",0,0)))))</f>
        <v>1</v>
      </c>
      <c r="N16" s="706" t="s">
        <v>46</v>
      </c>
      <c r="O16" s="268"/>
      <c r="P16" s="1211">
        <v>10</v>
      </c>
      <c r="Q16" s="329">
        <v>12</v>
      </c>
      <c r="R16" s="106">
        <f>AG$5</f>
        <v>11</v>
      </c>
      <c r="S16" s="516" t="str">
        <f>AH$5</f>
        <v>Vitaly Khomitsevich</v>
      </c>
      <c r="T16" s="1010"/>
      <c r="U16" s="524" t="str">
        <f>IF(T16&lt;&gt;"",T16,IF(V16&lt;&gt;"","N",""))</f>
        <v/>
      </c>
      <c r="V16" s="1018"/>
      <c r="W16" s="1210" t="str">
        <f t="shared" si="54"/>
        <v/>
      </c>
      <c r="X16" s="1210"/>
      <c r="Y16" s="1210"/>
      <c r="Z16" s="1210"/>
      <c r="AA16" s="510"/>
      <c r="AB16" s="93">
        <f>IF(AC16="","",IF(AC16="R",3,IF(AC17="R",2,IF(AC18="R",1,IF(AC19="R",0,0)))))</f>
        <v>1</v>
      </c>
      <c r="AC16" s="723" t="s">
        <v>221</v>
      </c>
      <c r="AD16" s="269"/>
      <c r="AE16" s="1211">
        <v>18</v>
      </c>
      <c r="AF16" s="329">
        <v>9</v>
      </c>
      <c r="AG16" s="106">
        <f>AG$2</f>
        <v>1</v>
      </c>
      <c r="AH16" s="516" t="str">
        <f>AH$2</f>
        <v>Daniil Ivanov</v>
      </c>
      <c r="AI16" s="1010"/>
      <c r="AJ16" s="524" t="str">
        <f t="shared" si="55"/>
        <v/>
      </c>
      <c r="AK16" s="1018"/>
      <c r="AL16" s="1210" t="str">
        <f t="shared" si="56"/>
        <v/>
      </c>
      <c r="AM16" s="1210"/>
      <c r="AN16" s="1210"/>
      <c r="AO16" s="1210"/>
      <c r="AP16" s="510"/>
      <c r="AQ16" s="93">
        <f>IF(AR16="","",IF(AR16="R",3,IF(AR17="R",2,IF(AR18="R",1,IF(AR19="R",0,0)))))</f>
        <v>2</v>
      </c>
      <c r="AR16" s="723" t="s">
        <v>46</v>
      </c>
      <c r="AS16" s="268"/>
      <c r="AT16" s="195">
        <f t="shared" si="57"/>
        <v>5</v>
      </c>
      <c r="AU16" s="65" t="str">
        <f t="shared" si="58"/>
        <v/>
      </c>
      <c r="AV16" s="94" t="str">
        <f t="shared" si="59"/>
        <v>Vitaly Khomitsevich</v>
      </c>
      <c r="AW16" s="3">
        <f t="shared" si="60"/>
        <v>2</v>
      </c>
      <c r="AX16" s="4">
        <f t="shared" si="61"/>
        <v>3</v>
      </c>
      <c r="AY16" s="4">
        <f t="shared" si="62"/>
        <v>1</v>
      </c>
      <c r="AZ16" s="4">
        <f t="shared" si="63"/>
        <v>2</v>
      </c>
      <c r="BA16" s="26">
        <f t="shared" si="64"/>
        <v>3</v>
      </c>
      <c r="BB16" s="189">
        <f t="shared" si="65"/>
        <v>11</v>
      </c>
      <c r="BD16" s="104">
        <f t="shared" si="66"/>
        <v>11</v>
      </c>
      <c r="BE16" s="145" t="str">
        <f t="shared" si="74"/>
        <v>Vitaly Khomitsevich</v>
      </c>
      <c r="BF16" s="146">
        <f t="shared" si="75"/>
        <v>12</v>
      </c>
      <c r="BG16"/>
      <c r="BH16" s="390">
        <f t="shared" si="76"/>
        <v>0</v>
      </c>
      <c r="BI16" s="974">
        <v>14</v>
      </c>
      <c r="BJ16" s="16">
        <f>IF(AC24&lt;&gt;"",12,0)</f>
        <v>12</v>
      </c>
      <c r="BK16" s="451">
        <v>12</v>
      </c>
      <c r="BL16" s="8">
        <f>$M16</f>
        <v>1</v>
      </c>
      <c r="BQ16" s="8">
        <f>$AB16</f>
        <v>1</v>
      </c>
      <c r="BV16" s="8">
        <f>$AQ16</f>
        <v>2</v>
      </c>
      <c r="BY16" s="8"/>
      <c r="BZ16" s="16">
        <v>5</v>
      </c>
      <c r="CA16" s="16">
        <f t="shared" si="67"/>
        <v>5</v>
      </c>
      <c r="CB16" s="13">
        <v>1</v>
      </c>
      <c r="CC16" s="49">
        <f t="shared" si="4"/>
        <v>14</v>
      </c>
      <c r="CD16" s="50" t="str">
        <f t="shared" si="31"/>
        <v>=</v>
      </c>
      <c r="CE16" s="31">
        <v>14</v>
      </c>
      <c r="CF16" s="121">
        <f t="shared" si="5"/>
        <v>1</v>
      </c>
      <c r="CG16" s="126"/>
      <c r="CH16" s="74" t="str">
        <f t="shared" si="32"/>
        <v>Per-Anders Lindstrom</v>
      </c>
      <c r="CI16" s="278">
        <f t="shared" si="6"/>
        <v>2.0002300000000002</v>
      </c>
      <c r="CJ16" s="85">
        <f t="shared" si="7"/>
        <v>0</v>
      </c>
      <c r="CK16" s="70">
        <f t="shared" si="8"/>
        <v>0</v>
      </c>
      <c r="CL16" s="70">
        <f t="shared" si="9"/>
        <v>1</v>
      </c>
      <c r="CM16" s="70">
        <f t="shared" si="10"/>
        <v>1</v>
      </c>
      <c r="CN16" s="86">
        <f t="shared" si="11"/>
        <v>0</v>
      </c>
      <c r="CO16" s="79">
        <f t="shared" si="33"/>
        <v>2</v>
      </c>
      <c r="CP16" s="52"/>
      <c r="CQ16" s="249"/>
      <c r="CR16" s="27">
        <f t="shared" si="12"/>
        <v>1</v>
      </c>
      <c r="CS16" s="258">
        <f>RANK(DP16,$DP$3:$DP$20)+COUNTIF(DP$3:DP16,DP16)-1</f>
        <v>15</v>
      </c>
      <c r="CT16" s="32">
        <f t="shared" si="49"/>
        <v>14</v>
      </c>
      <c r="CU16" s="423">
        <f>VLOOKUP(CW16,Draw!$B$3:$C$42,2,FALSE)</f>
        <v>8</v>
      </c>
      <c r="CV16" s="185">
        <f>VLOOKUP(CW16,Draw!$B$3:$C$42,2,FALSE)</f>
        <v>8</v>
      </c>
      <c r="CW16" s="33" t="str">
        <f t="shared" si="50"/>
        <v>Stefan Pletschacher</v>
      </c>
      <c r="CX16" s="4">
        <f t="shared" si="51"/>
        <v>0</v>
      </c>
      <c r="CY16" s="4">
        <f t="shared" si="51"/>
        <v>1</v>
      </c>
      <c r="CZ16" s="4">
        <f t="shared" si="51"/>
        <v>0</v>
      </c>
      <c r="DA16" s="4">
        <f t="shared" si="51"/>
        <v>0</v>
      </c>
      <c r="DB16" s="34">
        <f t="shared" si="51"/>
        <v>1</v>
      </c>
      <c r="DC16" s="250">
        <f t="shared" si="16"/>
        <v>2</v>
      </c>
      <c r="DD16" s="243">
        <f t="shared" si="17"/>
        <v>0</v>
      </c>
      <c r="DE16" s="236">
        <f t="shared" si="34"/>
        <v>0</v>
      </c>
      <c r="DF16" s="232">
        <f t="shared" si="18"/>
        <v>0</v>
      </c>
      <c r="DG16" s="234">
        <f t="shared" si="35"/>
        <v>0</v>
      </c>
      <c r="DH16" s="232">
        <f t="shared" si="19"/>
        <v>2</v>
      </c>
      <c r="DI16" s="41">
        <f t="shared" si="36"/>
        <v>2.0000000000000001E-4</v>
      </c>
      <c r="DJ16" s="271">
        <f t="shared" si="20"/>
        <v>3</v>
      </c>
      <c r="DK16" s="602">
        <f t="shared" si="37"/>
        <v>3.0000000000000001E-5</v>
      </c>
      <c r="DL16" s="281">
        <f t="shared" si="21"/>
        <v>0</v>
      </c>
      <c r="DM16" s="643">
        <f t="shared" si="48"/>
        <v>5.2E-7</v>
      </c>
      <c r="DN16" s="284">
        <f t="shared" si="22"/>
        <v>2.0002300000000002</v>
      </c>
      <c r="DO16" s="284">
        <f t="shared" si="23"/>
        <v>2.0002300000000002</v>
      </c>
      <c r="DP16" s="647">
        <f t="shared" si="38"/>
        <v>2.0002305200000001</v>
      </c>
      <c r="DQ16" s="594"/>
      <c r="DR16" s="205">
        <f>IF($DN$16=$DN$3,$CV$16,"")</f>
        <v>8</v>
      </c>
      <c r="DS16" s="4" t="str">
        <f>IF($DN$16=$DN$4,$CV$16,"")</f>
        <v/>
      </c>
      <c r="DT16" s="4" t="str">
        <f>IF($DN$16=$DN$5,$CV$16,"")</f>
        <v/>
      </c>
      <c r="DU16" s="4" t="str">
        <f>IF($DN$16=$DN$6,$CV$16,"")</f>
        <v/>
      </c>
      <c r="DV16" s="4" t="str">
        <f>IF($DN$16=$DN$7,$CV$16,"")</f>
        <v/>
      </c>
      <c r="DW16" s="4" t="str">
        <f>IF($DN$16=$DN$8,$CV$16,"")</f>
        <v/>
      </c>
      <c r="DX16" s="4" t="str">
        <f>IF($DN$16=$DN$9,$CV$16,"")</f>
        <v/>
      </c>
      <c r="DY16" s="4" t="str">
        <f>IF($DN$16=$DN$10,$CV$16,"")</f>
        <v/>
      </c>
      <c r="DZ16" s="4" t="str">
        <f>IF($DN$16=$DN$11,$CV$16,"")</f>
        <v/>
      </c>
      <c r="EA16" s="4" t="str">
        <f>IF($DN$16=$DN$12,$CV$16,"")</f>
        <v/>
      </c>
      <c r="EB16" s="4" t="str">
        <f>IF($DN$16=$DN$13,$CV$16,"")</f>
        <v/>
      </c>
      <c r="EC16" s="4" t="str">
        <f>IF($DN$16=$DN$14,$CV$16,"")</f>
        <v/>
      </c>
      <c r="ED16" s="4" t="str">
        <f>IF($DN$16=$DN$15,$CV$16,"")</f>
        <v/>
      </c>
      <c r="EE16" s="208"/>
      <c r="EF16" s="4" t="str">
        <f>IF($DN$16=$DN$17,$CV$16,"")</f>
        <v/>
      </c>
      <c r="EG16" s="225" t="str">
        <f>IF($DN$16=$DN$18,$CV$16,"")</f>
        <v/>
      </c>
      <c r="EH16" s="215">
        <f>$AG$7</f>
        <v>8</v>
      </c>
      <c r="EI16" s="205">
        <f>IF($DR$16="","",$FT$16)</f>
        <v>9</v>
      </c>
      <c r="EJ16" s="4" t="str">
        <f>IF($DS$16="","",$FU$16)</f>
        <v/>
      </c>
      <c r="EK16" s="4" t="str">
        <f>IF($DT$16="","",$FV$16)</f>
        <v/>
      </c>
      <c r="EL16" s="4" t="str">
        <f>IF($DU$16="","",$FW$16)</f>
        <v/>
      </c>
      <c r="EM16" s="4" t="str">
        <f>IF($DV$16="","",$FX$16)</f>
        <v/>
      </c>
      <c r="EN16" s="4" t="str">
        <f>IF($DW$16="","",$FY$16)</f>
        <v/>
      </c>
      <c r="EO16" s="4" t="str">
        <f>IF($DX$16="","",$FZ$16)</f>
        <v/>
      </c>
      <c r="EP16" s="4" t="str">
        <f>IF($DY$16="","",$GA$16)</f>
        <v/>
      </c>
      <c r="EQ16" s="4" t="str">
        <f>IF($DZ$16="","",$GB$16)</f>
        <v/>
      </c>
      <c r="ER16" s="4" t="str">
        <f>IF($EA$16="","",$GC$16)</f>
        <v/>
      </c>
      <c r="ES16" s="4" t="str">
        <f>IF($EB$16="","",$GD$16)</f>
        <v/>
      </c>
      <c r="ET16" s="4" t="str">
        <f>IF($EC$16="","",$GE$16)</f>
        <v/>
      </c>
      <c r="EU16" s="4" t="str">
        <f>IF($ED$16="","",$GF$16)</f>
        <v/>
      </c>
      <c r="EV16" s="208"/>
      <c r="EW16" s="4" t="str">
        <f>IF($EF$16="","",$GH$16)</f>
        <v/>
      </c>
      <c r="EX16" s="225" t="str">
        <f>IF($EG$16="","",$GI$16)</f>
        <v/>
      </c>
      <c r="EY16" s="230">
        <f>COUNTIF($EI$16:$EX$16,$EH$16)</f>
        <v>0</v>
      </c>
      <c r="FA16" s="130">
        <f t="shared" si="24"/>
        <v>8</v>
      </c>
      <c r="FB16" s="13" t="str">
        <f t="shared" si="25"/>
        <v>Stefan Pletschacher</v>
      </c>
      <c r="FC16" s="129">
        <f t="shared" si="39"/>
        <v>0</v>
      </c>
      <c r="FD16" s="129">
        <f t="shared" si="26"/>
        <v>0</v>
      </c>
      <c r="FE16" s="504">
        <v>0</v>
      </c>
      <c r="FF16" s="129">
        <f t="shared" si="40"/>
        <v>0</v>
      </c>
      <c r="FG16" s="483">
        <f t="shared" si="27"/>
        <v>2.0002305200000001</v>
      </c>
      <c r="FH16" s="483">
        <f t="shared" si="41"/>
        <v>2.0002305200000001</v>
      </c>
      <c r="FI16" s="176">
        <f t="shared" si="42"/>
        <v>2.0002305200000001</v>
      </c>
      <c r="FJ16" s="484">
        <f t="shared" si="28"/>
        <v>2.0002305200000001</v>
      </c>
      <c r="FK16" s="16">
        <f t="shared" si="29"/>
        <v>15</v>
      </c>
      <c r="FL16" s="710">
        <v>14</v>
      </c>
      <c r="FM16" s="710">
        <f t="shared" si="43"/>
        <v>2</v>
      </c>
      <c r="FN16" s="512"/>
      <c r="FO16" s="13" t="str">
        <f t="shared" si="44"/>
        <v>Per-Anders Lindstrom</v>
      </c>
      <c r="FP16" s="496">
        <f t="shared" si="47"/>
        <v>2</v>
      </c>
      <c r="FQ16" s="13">
        <f t="shared" si="30"/>
        <v>0</v>
      </c>
      <c r="FS16" s="215">
        <f>$AG$7</f>
        <v>8</v>
      </c>
      <c r="FT16" s="205">
        <f>IF($AB$31&gt;$AB$30,$FS$3,IF($AB$30&gt;$AB$31,$FS$16,""))</f>
        <v>9</v>
      </c>
      <c r="FU16" s="4">
        <f>IF($M$34&gt;$M$32,$FS$4,IF($M$32&gt;$M$34,$FS$16,""))</f>
        <v>3</v>
      </c>
      <c r="FV16" s="4">
        <f>IF($AB$22&gt;$AB$23,$FS$5,IF($AB$23&gt;$AB$22,$FS$16,""))</f>
        <v>10</v>
      </c>
      <c r="FW16" s="4">
        <f>IF($AQ$27&gt;$AQ$25,$FS$6,IF($AQ$25&gt;$AQ$27,$FS$16,""))</f>
        <v>6</v>
      </c>
      <c r="FX16" s="4">
        <f>IF($AQ$24&gt;$AQ$25,$FS$7,IF($AQ$25&gt;$AQ$24,$FS$16,""))</f>
        <v>14</v>
      </c>
      <c r="FY16" s="4">
        <f>IF($M$35&gt;$M$32,$FS$8,IF($M$32&gt;$M$35,$FS$16,""))</f>
        <v>8</v>
      </c>
      <c r="FZ16" s="4">
        <f>IF($AB$28&gt;$AB$30,$FS$9,IF($AB$30&gt;$AB$28,$FS$16,""))</f>
        <v>4</v>
      </c>
      <c r="GA16" s="4">
        <f>IF($AB$20&gt;$AB$23,$FS$10,IF($AB$23&gt;$AB$20,$FS$16,""))</f>
        <v>7</v>
      </c>
      <c r="GB16" s="4">
        <f>IF($AB$21&gt;$AB$23,$FS$11,IF($AB$23&gt;$AB$21,$FS$16,""))</f>
        <v>1</v>
      </c>
      <c r="GC16" s="4">
        <f>IF($M$33&gt;$M$32,$FS$12,IF($M$32&gt;$M$33,$FS$16,""))</f>
        <v>12</v>
      </c>
      <c r="GD16" s="4">
        <f>IF($AQ$26&gt;$AQ$25,$FS$13,IF($AQ$25&gt;$AQ$26,$FS$16,""))</f>
        <v>8</v>
      </c>
      <c r="GE16" s="4">
        <f>IF($AB$29&gt;$AB$30,$FS$14,IF($AB$30&gt;$AB$29,$FS$16,""))</f>
        <v>11</v>
      </c>
      <c r="GF16" s="4">
        <f>IF($M$27&gt;$M$25,$FS$15,IF($M$25&gt;$M$27,$FS$16))</f>
        <v>19</v>
      </c>
      <c r="GG16" s="208"/>
      <c r="GH16" s="4">
        <f>IF($M$25&gt;$M$24,$FS$16,IF($M$24&gt;$M$25,$FS$17,""))</f>
        <v>2</v>
      </c>
      <c r="GI16" s="211">
        <f>IF($M$25&gt;$M$26,$FS$16,IF($M$26&gt;$M$25,$FS$18,""))</f>
        <v>5</v>
      </c>
      <c r="GK16" s="8">
        <v>14</v>
      </c>
      <c r="GL16" s="205"/>
      <c r="GM16" s="4"/>
      <c r="GN16" s="4"/>
      <c r="GO16" s="4"/>
      <c r="GP16" s="225"/>
      <c r="GQ16" s="230">
        <f t="shared" si="46"/>
        <v>0</v>
      </c>
      <c r="GR16" s="601">
        <f t="shared" si="45"/>
        <v>0</v>
      </c>
      <c r="GW16" s="1143">
        <v>2</v>
      </c>
      <c r="GX16" s="229" t="str">
        <f>IF($N$16="","",IF($IW$16=$GX$3,$IX$16,IF(AND($H$16=$GX$3,$L$16&lt;&gt;""),$L$16,IF(AND($H$16=$GX$3,$L$16=""),$M$16,""))))</f>
        <v/>
      </c>
      <c r="GY16" s="299">
        <v>76</v>
      </c>
      <c r="GZ16" s="300" t="str">
        <f t="shared" si="77"/>
        <v/>
      </c>
      <c r="HA16" s="93" t="str">
        <f t="shared" si="68"/>
        <v/>
      </c>
      <c r="HB16" s="300"/>
      <c r="HC16" s="93" t="str">
        <f t="shared" si="78"/>
        <v/>
      </c>
      <c r="HG16" s="1143">
        <v>2</v>
      </c>
      <c r="HH16" s="229" t="str">
        <f>IF($N$16="","",IF($IW$16=$HH$3,$IX$16,IF(AND($H$16=$HH$3,$L$16&lt;&gt;""),$L$16,IF(AND($H$16=$HH$3,$L$16=""),$M$16,""))))</f>
        <v/>
      </c>
      <c r="HI16" s="299">
        <v>76</v>
      </c>
      <c r="HJ16" s="300" t="str">
        <f t="shared" si="79"/>
        <v/>
      </c>
      <c r="HK16" s="93" t="str">
        <f t="shared" si="69"/>
        <v/>
      </c>
      <c r="HL16" s="300"/>
      <c r="HM16" s="93" t="str">
        <f t="shared" si="70"/>
        <v/>
      </c>
      <c r="HN16" s="348" t="str">
        <f>IF($A15="","",$A15)</f>
        <v>58,75</v>
      </c>
      <c r="HO16" s="132" t="str">
        <f>IF($H12&lt;&gt;"",$D12,IF($H13&lt;&gt;"",$D13,IF($H14&lt;&gt;"",$D14,IF($H15&lt;&gt;"",$D15,""))))</f>
        <v/>
      </c>
      <c r="HP16" s="338" t="str">
        <f>IF(HO16="","",VLOOKUP($HO16,$CW$3:$DB$18,2,FALSE))</f>
        <v/>
      </c>
      <c r="HQ16" s="338"/>
      <c r="HR16" s="338"/>
      <c r="HS16" s="338">
        <v>5</v>
      </c>
      <c r="HT16" s="338"/>
      <c r="HU16" s="132" t="str">
        <f>IF(HO16="","",HO16&amp;" ("&amp;HP16&amp;")")</f>
        <v/>
      </c>
      <c r="HV16" s="349">
        <v>5</v>
      </c>
      <c r="HW16" s="339" t="str">
        <f>IF(HU16="","",HU16)</f>
        <v/>
      </c>
      <c r="HX16" s="348" t="str">
        <f>IF($P15="","",$P15)</f>
        <v>62,82</v>
      </c>
      <c r="HY16" s="132" t="str">
        <f>IF($W12&lt;&gt;"",$S12,IF($W13&lt;&gt;"",$S13,IF($W14&lt;&gt;"",$S14,IF($W15&lt;&gt;"",$S15,""))))</f>
        <v>Rene Stellingwerf</v>
      </c>
      <c r="HZ16" s="338" t="str">
        <f>IF(HY16="","",VLOOKUP($HY16,$CW$3:$DB$18,4,FALSE))</f>
        <v>N</v>
      </c>
      <c r="IA16" s="338"/>
      <c r="IB16" s="338"/>
      <c r="IC16" s="338">
        <v>5</v>
      </c>
      <c r="ID16" s="338"/>
      <c r="IE16" s="132" t="str">
        <f>IF(HY16="","",HY16&amp;" ("&amp;HZ16&amp;")")</f>
        <v>Rene Stellingwerf (N)</v>
      </c>
      <c r="IF16" s="351">
        <v>5</v>
      </c>
      <c r="IG16" s="339" t="str">
        <f>IF(IE16="","",IE16)</f>
        <v>Rene Stellingwerf (N)</v>
      </c>
      <c r="IH16" s="348" t="str">
        <f>IF($AE15="","",$AE15)</f>
        <v>62,81</v>
      </c>
      <c r="II16" s="132" t="str">
        <f>IF($AL12&lt;&gt;"",$AH12,IF($AL13&lt;&gt;"",$AH13,IF($AL14&lt;&gt;"",$AH14,IF($AL15&lt;&gt;"",$AH15,""))))</f>
        <v/>
      </c>
      <c r="IJ16" s="338" t="str">
        <f>IF(II16="","",VLOOKUP($II16,$CW$3:$DB$18,6,FALSE))</f>
        <v/>
      </c>
      <c r="IK16" s="338"/>
      <c r="IL16" s="338"/>
      <c r="IM16" s="338">
        <v>5</v>
      </c>
      <c r="IN16" s="338"/>
      <c r="IO16" s="132" t="str">
        <f>IF(II16="","",II16&amp;" ("&amp;IJ16&amp;")")</f>
        <v/>
      </c>
      <c r="IP16" s="351">
        <v>5</v>
      </c>
      <c r="IQ16" s="339" t="str">
        <f>IF(IO16="","",IO16)</f>
        <v/>
      </c>
      <c r="IU16" s="1111">
        <v>2</v>
      </c>
      <c r="IV16" s="695"/>
      <c r="IW16" s="696" t="str">
        <f t="shared" si="71"/>
        <v/>
      </c>
      <c r="IX16" s="697"/>
      <c r="IZ16" s="1111">
        <v>10</v>
      </c>
      <c r="JA16" s="695"/>
      <c r="JB16" s="696" t="str">
        <f t="shared" si="72"/>
        <v/>
      </c>
      <c r="JC16" s="697"/>
      <c r="JE16" s="1111">
        <v>18</v>
      </c>
      <c r="JF16" s="695"/>
      <c r="JG16" s="696" t="str">
        <f t="shared" si="73"/>
        <v/>
      </c>
      <c r="JH16" s="697"/>
    </row>
    <row r="17" spans="1:268" ht="12.75" customHeight="1">
      <c r="A17" s="1212"/>
      <c r="B17" s="39">
        <v>7</v>
      </c>
      <c r="C17" s="101">
        <f>R$8</f>
        <v>4</v>
      </c>
      <c r="D17" s="517" t="str">
        <f>S$8</f>
        <v>Igor Kononov</v>
      </c>
      <c r="E17" s="1011"/>
      <c r="F17" s="525" t="str">
        <f t="shared" si="52"/>
        <v/>
      </c>
      <c r="G17" s="1019"/>
      <c r="H17" s="1198" t="str">
        <f t="shared" si="53"/>
        <v/>
      </c>
      <c r="I17" s="1198"/>
      <c r="J17" s="1198"/>
      <c r="K17" s="1198"/>
      <c r="L17" s="508"/>
      <c r="M17" s="146">
        <f>IF(N16="","",IF(N16="B",3,IF(N17="B",2,IF(N18="B",1,IF(N19="B",0,0)))))</f>
        <v>3</v>
      </c>
      <c r="N17" s="707" t="s">
        <v>222</v>
      </c>
      <c r="O17" s="268"/>
      <c r="P17" s="1212"/>
      <c r="Q17" s="39">
        <v>5</v>
      </c>
      <c r="R17" s="101">
        <f>R$6</f>
        <v>14</v>
      </c>
      <c r="S17" s="517" t="str">
        <f>S$6</f>
        <v>Antonin Klatovsky</v>
      </c>
      <c r="T17" s="1011"/>
      <c r="U17" s="525" t="str">
        <f t="shared" ref="U17:U43" si="80">IF(T17&lt;&gt;"",T17,IF(V17&lt;&gt;"","N",""))</f>
        <v/>
      </c>
      <c r="V17" s="1019"/>
      <c r="W17" s="1198" t="str">
        <f t="shared" si="54"/>
        <v/>
      </c>
      <c r="X17" s="1198"/>
      <c r="Y17" s="1198"/>
      <c r="Z17" s="1198"/>
      <c r="AA17" s="508"/>
      <c r="AB17" s="146">
        <f>IF(AC16="","",IF(AC16="B",3,IF(AC17="B",2,IF(AC18="B",1,IF(AC19="B",0,0)))))</f>
        <v>0</v>
      </c>
      <c r="AC17" s="724" t="s">
        <v>222</v>
      </c>
      <c r="AD17" s="269"/>
      <c r="AE17" s="1212"/>
      <c r="AF17" s="39">
        <v>2</v>
      </c>
      <c r="AG17" s="101">
        <f>R$3</f>
        <v>3</v>
      </c>
      <c r="AH17" s="517" t="str">
        <f>S$3</f>
        <v>Dimitry Khomitsevich</v>
      </c>
      <c r="AI17" s="1011"/>
      <c r="AJ17" s="525" t="str">
        <f t="shared" si="55"/>
        <v/>
      </c>
      <c r="AK17" s="1019"/>
      <c r="AL17" s="1198" t="str">
        <f t="shared" si="56"/>
        <v/>
      </c>
      <c r="AM17" s="1198"/>
      <c r="AN17" s="1198"/>
      <c r="AO17" s="1198"/>
      <c r="AP17" s="508"/>
      <c r="AQ17" s="146">
        <f>IF(AR16="","",IF(AR16="B",3,IF(AR17="B",2,IF(AR18="B",1,IF(AR19="B",0,0)))))</f>
        <v>3</v>
      </c>
      <c r="AR17" s="724" t="s">
        <v>12</v>
      </c>
      <c r="AS17" s="268"/>
      <c r="AT17" s="195">
        <f t="shared" si="57"/>
        <v>6</v>
      </c>
      <c r="AU17" s="65" t="str">
        <f t="shared" si="58"/>
        <v/>
      </c>
      <c r="AV17" s="94" t="str">
        <f t="shared" si="59"/>
        <v>Franz Zorn</v>
      </c>
      <c r="AW17" s="3">
        <f t="shared" si="60"/>
        <v>2</v>
      </c>
      <c r="AX17" s="4">
        <f t="shared" si="61"/>
        <v>1</v>
      </c>
      <c r="AY17" s="4">
        <f t="shared" si="62"/>
        <v>2</v>
      </c>
      <c r="AZ17" s="4">
        <f t="shared" si="63"/>
        <v>3</v>
      </c>
      <c r="BA17" s="26">
        <f t="shared" si="64"/>
        <v>2</v>
      </c>
      <c r="BB17" s="189">
        <f t="shared" si="65"/>
        <v>10</v>
      </c>
      <c r="BD17" s="192">
        <f t="shared" si="66"/>
        <v>10</v>
      </c>
      <c r="BE17" s="131" t="str">
        <f t="shared" si="74"/>
        <v>Franz Zorn</v>
      </c>
      <c r="BF17" s="95">
        <f t="shared" si="75"/>
        <v>11</v>
      </c>
      <c r="BG17"/>
      <c r="BH17" s="390">
        <f t="shared" si="76"/>
        <v>0</v>
      </c>
      <c r="BI17" s="974">
        <v>13</v>
      </c>
      <c r="BJ17" s="16">
        <f>MAX(BJ12:BJ16)</f>
        <v>23</v>
      </c>
      <c r="BK17" s="451">
        <v>11</v>
      </c>
      <c r="BM17" s="8">
        <f>$M17</f>
        <v>3</v>
      </c>
      <c r="BR17" s="8">
        <f>$AB17</f>
        <v>0</v>
      </c>
      <c r="BW17" s="8">
        <f>$AQ17</f>
        <v>3</v>
      </c>
      <c r="BY17" s="8"/>
      <c r="BZ17" s="16">
        <v>6</v>
      </c>
      <c r="CA17" s="16">
        <f t="shared" si="67"/>
        <v>0</v>
      </c>
      <c r="CB17" s="13">
        <v>2</v>
      </c>
      <c r="CC17" s="49">
        <f t="shared" si="4"/>
        <v>14</v>
      </c>
      <c r="CD17" s="50" t="str">
        <f t="shared" si="31"/>
        <v>=</v>
      </c>
      <c r="CE17" s="31">
        <v>15</v>
      </c>
      <c r="CF17" s="121">
        <f t="shared" si="5"/>
        <v>14</v>
      </c>
      <c r="CG17" s="126"/>
      <c r="CH17" s="74" t="str">
        <f t="shared" si="32"/>
        <v>Stefan Pletschacher</v>
      </c>
      <c r="CI17" s="278">
        <f t="shared" si="6"/>
        <v>2.0002300000000002</v>
      </c>
      <c r="CJ17" s="85">
        <f t="shared" si="7"/>
        <v>0</v>
      </c>
      <c r="CK17" s="70">
        <f t="shared" si="8"/>
        <v>1</v>
      </c>
      <c r="CL17" s="70">
        <f t="shared" si="9"/>
        <v>0</v>
      </c>
      <c r="CM17" s="70">
        <f t="shared" si="10"/>
        <v>0</v>
      </c>
      <c r="CN17" s="86">
        <f t="shared" si="11"/>
        <v>1</v>
      </c>
      <c r="CO17" s="79">
        <f t="shared" si="33"/>
        <v>2</v>
      </c>
      <c r="CP17" s="52"/>
      <c r="CQ17" s="249"/>
      <c r="CR17" s="27">
        <f t="shared" si="12"/>
        <v>14</v>
      </c>
      <c r="CS17" s="258">
        <f>RANK(DP17,$DP$3:$DP$20)+COUNTIF(DP$3:DP17,DP17)-1</f>
        <v>1</v>
      </c>
      <c r="CT17" s="32">
        <f t="shared" si="49"/>
        <v>15</v>
      </c>
      <c r="CU17" s="423">
        <f>VLOOKUP(CW17,Draw!$B$3:$C$42,2,FALSE)</f>
        <v>2</v>
      </c>
      <c r="CV17" s="185">
        <f>VLOOKUP(CW17,Draw!$B$3:$C$42,2,FALSE)</f>
        <v>2</v>
      </c>
      <c r="CW17" s="33" t="str">
        <f t="shared" si="50"/>
        <v>Dimitry Koltakov</v>
      </c>
      <c r="CX17" s="4">
        <f t="shared" si="51"/>
        <v>3</v>
      </c>
      <c r="CY17" s="4">
        <f t="shared" si="51"/>
        <v>3</v>
      </c>
      <c r="CZ17" s="4">
        <f t="shared" si="51"/>
        <v>3</v>
      </c>
      <c r="DA17" s="4">
        <f t="shared" si="51"/>
        <v>3</v>
      </c>
      <c r="DB17" s="34">
        <f t="shared" si="51"/>
        <v>3</v>
      </c>
      <c r="DC17" s="250">
        <f t="shared" si="16"/>
        <v>15</v>
      </c>
      <c r="DD17" s="243">
        <f t="shared" si="17"/>
        <v>5</v>
      </c>
      <c r="DE17" s="236">
        <f t="shared" si="34"/>
        <v>0.05</v>
      </c>
      <c r="DF17" s="232">
        <f t="shared" si="18"/>
        <v>0</v>
      </c>
      <c r="DG17" s="234">
        <f t="shared" si="35"/>
        <v>0</v>
      </c>
      <c r="DH17" s="232">
        <f t="shared" si="19"/>
        <v>0</v>
      </c>
      <c r="DI17" s="41">
        <f t="shared" si="36"/>
        <v>0</v>
      </c>
      <c r="DJ17" s="271">
        <f t="shared" si="20"/>
        <v>0</v>
      </c>
      <c r="DK17" s="602">
        <f t="shared" si="37"/>
        <v>0</v>
      </c>
      <c r="DL17" s="281">
        <f t="shared" si="21"/>
        <v>0</v>
      </c>
      <c r="DM17" s="644">
        <f t="shared" si="48"/>
        <v>5.7999999999999995E-7</v>
      </c>
      <c r="DN17" s="285">
        <f t="shared" si="22"/>
        <v>15.05</v>
      </c>
      <c r="DO17" s="285">
        <f t="shared" si="23"/>
        <v>15.05</v>
      </c>
      <c r="DP17" s="648">
        <f t="shared" si="38"/>
        <v>15.050000580000001</v>
      </c>
      <c r="DQ17" s="595"/>
      <c r="DR17" s="205" t="str">
        <f>IF($DN$17=$DN$3,$CV$17,"")</f>
        <v/>
      </c>
      <c r="DS17" s="4" t="str">
        <f>IF($DN$17=$DN$4,$CV$17,"")</f>
        <v/>
      </c>
      <c r="DT17" s="4" t="str">
        <f>IF($DN$17=$DN$5,$CV$17,"")</f>
        <v/>
      </c>
      <c r="DU17" s="4" t="str">
        <f>IF($DN$17=$DN$6,$CV$17,"")</f>
        <v/>
      </c>
      <c r="DV17" s="4" t="str">
        <f>IF($DN$17=$DN$7,$CV$17,"")</f>
        <v/>
      </c>
      <c r="DW17" s="4" t="str">
        <f>IF($DN$17=$DN$8,$CV$17,"")</f>
        <v/>
      </c>
      <c r="DX17" s="4" t="str">
        <f>IF($DN$17=$DN$9,$CV$17,"")</f>
        <v/>
      </c>
      <c r="DY17" s="4" t="str">
        <f>IF($DN$17=$DN$10,$CV$17,"")</f>
        <v/>
      </c>
      <c r="DZ17" s="4" t="str">
        <f>IF($DN$17=$DN$11,$CV$17,"")</f>
        <v/>
      </c>
      <c r="EA17" s="4" t="str">
        <f>IF($DN$17=$DN$12,$CV$17,"")</f>
        <v/>
      </c>
      <c r="EB17" s="4" t="str">
        <f>IF($DN$17=$DN$13,$CV$17,"")</f>
        <v/>
      </c>
      <c r="EC17" s="4" t="str">
        <f>IF($DN$17=$DN$14,$CV$17,"")</f>
        <v/>
      </c>
      <c r="ED17" s="4" t="str">
        <f>IF($DN$17=$DN$15,$CV$17,"")</f>
        <v/>
      </c>
      <c r="EE17" s="4" t="str">
        <f>IF($DN$17=$DN$16,$CV$17,"")</f>
        <v/>
      </c>
      <c r="EF17" s="208"/>
      <c r="EG17" s="225" t="str">
        <f>IF($DN$17=$DN$18,$CV$17,"")</f>
        <v/>
      </c>
      <c r="EH17" s="215">
        <f>$AG$8</f>
        <v>2</v>
      </c>
      <c r="EI17" s="205" t="str">
        <f>IF($DR$17="","",$FT$17)</f>
        <v/>
      </c>
      <c r="EJ17" s="4" t="str">
        <f>IF($DS$17="","",$FU$17)</f>
        <v/>
      </c>
      <c r="EK17" s="4" t="str">
        <f>IF($DT$17="","",$FV$17)</f>
        <v/>
      </c>
      <c r="EL17" s="4" t="str">
        <f>IF($DU$17="","",$FW$17)</f>
        <v/>
      </c>
      <c r="EM17" s="4" t="str">
        <f>IF($DV$17="","",$FX$17)</f>
        <v/>
      </c>
      <c r="EN17" s="4" t="str">
        <f>IF($DW$17="","",$FY$17)</f>
        <v/>
      </c>
      <c r="EO17" s="4" t="str">
        <f>IF($DX$17="","",$FZ$17)</f>
        <v/>
      </c>
      <c r="EP17" s="4" t="str">
        <f>IF($DY$17="","",$GA$17)</f>
        <v/>
      </c>
      <c r="EQ17" s="4" t="str">
        <f>IF($DZ$17="","",$GB$17)</f>
        <v/>
      </c>
      <c r="ER17" s="4" t="str">
        <f>IF($EA$17="","",$GC$17)</f>
        <v/>
      </c>
      <c r="ES17" s="4" t="str">
        <f>IF($EB$17="","",$GD$17)</f>
        <v/>
      </c>
      <c r="ET17" s="4" t="str">
        <f>IF($EC$17="","",$GE$17)</f>
        <v/>
      </c>
      <c r="EU17" s="4" t="str">
        <f>IF($ED$17="","",$GF$17)</f>
        <v/>
      </c>
      <c r="EV17" s="4" t="str">
        <f>IF($EE$17="","",$GG$17)</f>
        <v/>
      </c>
      <c r="EW17" s="208"/>
      <c r="EX17" s="225" t="str">
        <f>IF($EG$17="","",$GI$17)</f>
        <v/>
      </c>
      <c r="EY17" s="230">
        <f>COUNTIF($EI$17:$EX$17,$EH$17)</f>
        <v>0</v>
      </c>
      <c r="FA17" s="130">
        <f t="shared" si="24"/>
        <v>2</v>
      </c>
      <c r="FB17" s="13" t="str">
        <f t="shared" si="25"/>
        <v>Dimitry Koltakov</v>
      </c>
      <c r="FC17" s="129">
        <f t="shared" si="39"/>
        <v>3</v>
      </c>
      <c r="FD17" s="129">
        <f t="shared" si="26"/>
        <v>3</v>
      </c>
      <c r="FE17" s="504">
        <v>0</v>
      </c>
      <c r="FF17" s="129">
        <f t="shared" si="40"/>
        <v>1</v>
      </c>
      <c r="FG17" s="483">
        <f t="shared" si="27"/>
        <v>21</v>
      </c>
      <c r="FH17" s="483">
        <f t="shared" si="41"/>
        <v>21</v>
      </c>
      <c r="FI17" s="176">
        <f t="shared" si="42"/>
        <v>30</v>
      </c>
      <c r="FJ17" s="484">
        <f t="shared" si="28"/>
        <v>30</v>
      </c>
      <c r="FK17" s="16">
        <f t="shared" si="29"/>
        <v>1</v>
      </c>
      <c r="FL17" s="710">
        <v>15</v>
      </c>
      <c r="FM17" s="710">
        <f t="shared" si="43"/>
        <v>21</v>
      </c>
      <c r="FN17" s="512"/>
      <c r="FO17" s="13" t="str">
        <f t="shared" si="44"/>
        <v>Stefan Pletschacher</v>
      </c>
      <c r="FP17" s="496">
        <f t="shared" si="47"/>
        <v>2</v>
      </c>
      <c r="FQ17" s="13">
        <f t="shared" si="30"/>
        <v>0</v>
      </c>
      <c r="FS17" s="215">
        <f>$AG$8</f>
        <v>2</v>
      </c>
      <c r="FT17" s="205">
        <f>IF($AQ$12&gt;$AQ$14,$FS$3,IF($AQ$14&gt;$AQ$12,$FS$17,""))</f>
        <v>2</v>
      </c>
      <c r="FU17" s="4">
        <f>IF($AB$19&gt;$AB$18,$FS$4,IF($AB$18&gt;$AB$19,$FS$17,""))</f>
        <v>2</v>
      </c>
      <c r="FV17" s="4">
        <f>IF($M$39&gt;$M$37,$FS$5,IF($M$37&gt;$M$39,$FS$17,""))</f>
        <v>2</v>
      </c>
      <c r="FW17" s="4">
        <f>IF($AB$42&gt;$AB$43,$FS$6,IF($AB$43&gt;$AB$42,$FS$17,""))</f>
        <v>2</v>
      </c>
      <c r="FX17" s="4">
        <f>IF($AB$17&gt;$AB$18,$FS$7,IF($AB$18&gt;$AB$17,$FS$17,""))</f>
        <v>2</v>
      </c>
      <c r="FY17" s="4">
        <f>IF($AB$41&gt;$AB$43,$FS$8,IF($AB$43&gt;$AB$41,$FS$17,""))</f>
        <v>2</v>
      </c>
      <c r="FZ17" s="4">
        <f>IF($M$38&gt;$M$37,$FS$9,IF($M$37&gt;$M$38,$FS$17,""))</f>
        <v>2</v>
      </c>
      <c r="GA17" s="4">
        <f>IF($AQ$13&gt;$AQ$14,$FS$10,IF($AQ$14&gt;$AQ$13,$FS$17,""))</f>
        <v>2</v>
      </c>
      <c r="GB17" s="4">
        <f>IF($AB$40&gt;$AB$43,$FS$11,IF($AB$43&gt;$AB$40,$FS$17,""))</f>
        <v>2</v>
      </c>
      <c r="GC17" s="4">
        <f>IF($AQ$15&gt;$AQ$14,$FS$12,IF($AQ$14&gt;$AQ$15,$FS$17))</f>
        <v>2</v>
      </c>
      <c r="GD17" s="4">
        <f>IF($M$36&gt;$M$37,$FS$13,IF($M$37&gt;$M$36,$FS$17,""))</f>
        <v>2</v>
      </c>
      <c r="GE17" s="4">
        <f>IF($AB$16&gt;$AB$18,$FS$14,IF($AB$18&gt;$AB$16,$FS$17,""))</f>
        <v>2</v>
      </c>
      <c r="GF17" s="4">
        <f>IF($M$27&gt;$M$24,$FS$15,IF($M$24&gt;$M$27,$FS$17,""))</f>
        <v>2</v>
      </c>
      <c r="GG17" s="4">
        <f>IF($M$25&gt;$M$24,$FS$16,IF($M$24&gt;$M$25,$FS$17,""))</f>
        <v>2</v>
      </c>
      <c r="GH17" s="208"/>
      <c r="GI17" s="211">
        <f>IF($M$24&gt;$M$26,$FS$17,IF($M$26&gt;$M$24,$FS$18,""))</f>
        <v>2</v>
      </c>
      <c r="GK17" s="8">
        <v>15</v>
      </c>
      <c r="GL17" s="205"/>
      <c r="GM17" s="4"/>
      <c r="GN17" s="4"/>
      <c r="GO17" s="4"/>
      <c r="GP17" s="225"/>
      <c r="GQ17" s="230">
        <f t="shared" si="46"/>
        <v>0</v>
      </c>
      <c r="GR17" s="601">
        <f t="shared" si="45"/>
        <v>0</v>
      </c>
      <c r="GW17" s="1144"/>
      <c r="GX17" s="230" t="str">
        <f>IF($N$16="","",IF($IW$17=$GX$3,$IX$17,IF(AND($H$17=$GX$3,$L$17&lt;&gt;""),$L$17,IF(AND($H$17=$GX$3,$L$17=""),$M$17,""))))</f>
        <v/>
      </c>
      <c r="GY17" s="301">
        <v>75</v>
      </c>
      <c r="GZ17" s="5" t="str">
        <f t="shared" si="77"/>
        <v/>
      </c>
      <c r="HA17" s="95" t="str">
        <f t="shared" si="68"/>
        <v/>
      </c>
      <c r="HB17" s="5"/>
      <c r="HC17" s="95" t="str">
        <f t="shared" si="78"/>
        <v/>
      </c>
      <c r="HG17" s="1144"/>
      <c r="HH17" s="230" t="str">
        <f>IF($N$16="","",IF($IW$17=$HH$3,$IX$17,IF(AND($H$17=$HH$3,$L$17&lt;&gt;""),$L$17,IF(AND($H$17=$HH$3,$L$17=""),$M$17,""))))</f>
        <v/>
      </c>
      <c r="HI17" s="301">
        <v>75</v>
      </c>
      <c r="HJ17" s="5" t="str">
        <f t="shared" si="79"/>
        <v/>
      </c>
      <c r="HK17" s="95" t="str">
        <f t="shared" si="69"/>
        <v/>
      </c>
      <c r="HL17" s="5"/>
      <c r="HM17" s="95" t="str">
        <f t="shared" si="70"/>
        <v/>
      </c>
      <c r="HN17" s="1148">
        <v>2</v>
      </c>
      <c r="HO17" s="346" t="str">
        <f>IF($H16="",$D16,$H16)</f>
        <v>Antonin Klatovsky</v>
      </c>
      <c r="HP17" s="335"/>
      <c r="HQ17" s="335" t="str">
        <f>IF($L16="","",$L16)</f>
        <v/>
      </c>
      <c r="HR17" s="335">
        <v>0.04</v>
      </c>
      <c r="HS17" s="456">
        <f>IF($M16="","",SUM(HR17+$M16))</f>
        <v>1.04</v>
      </c>
      <c r="HT17" s="457">
        <f>RANK(HS17,HS17:HS20)</f>
        <v>3</v>
      </c>
      <c r="HU17" s="335" t="str">
        <f>IF(HQ17="",HO17,HO17&amp;" ("&amp;HQ17&amp;")")</f>
        <v>Antonin Klatovsky</v>
      </c>
      <c r="HV17" s="347">
        <v>1</v>
      </c>
      <c r="HW17" s="336" t="str">
        <f>IF(N16="","",VLOOKUP(HV17,HT17:HU20,2,FALSE))</f>
        <v>Igor Kononov</v>
      </c>
      <c r="HX17" s="1148">
        <v>10</v>
      </c>
      <c r="HY17" s="346" t="str">
        <f>IF($W16="",$S16,$W16)</f>
        <v>Vitaly Khomitsevich</v>
      </c>
      <c r="HZ17" s="335"/>
      <c r="IA17" s="335" t="str">
        <f>IF($AA16="","",$AA16)</f>
        <v/>
      </c>
      <c r="IB17" s="335">
        <v>0.04</v>
      </c>
      <c r="IC17" s="456">
        <f>IF($AB16="","",SUM(IB17+$AB16))</f>
        <v>1.04</v>
      </c>
      <c r="ID17" s="457">
        <f>RANK(IC17,IC17:IC20)</f>
        <v>3</v>
      </c>
      <c r="IE17" s="335" t="str">
        <f>IF(IA17="",HY17,HY17&amp;" ("&amp;IA17&amp;")")</f>
        <v>Vitaly Khomitsevich</v>
      </c>
      <c r="IF17" s="350">
        <v>1</v>
      </c>
      <c r="IG17" s="336" t="str">
        <f>IF(AC16="","",VLOOKUP(IF17,ID17:IE20,2,FALSE))</f>
        <v>Dimitry Koltakov</v>
      </c>
      <c r="IH17" s="1148">
        <v>18</v>
      </c>
      <c r="II17" s="346" t="str">
        <f>IF($AL16="",$AH16,$AL16)</f>
        <v>Daniil Ivanov</v>
      </c>
      <c r="IJ17" s="335"/>
      <c r="IK17" s="335" t="str">
        <f>IF($AP16="","",$AP16)</f>
        <v/>
      </c>
      <c r="IL17" s="335">
        <v>0.04</v>
      </c>
      <c r="IM17" s="456">
        <f>IF($AQ16="","",SUM(IL17+$AQ16))</f>
        <v>2.04</v>
      </c>
      <c r="IN17" s="457">
        <f>RANK(IM17,IM17:IM20)</f>
        <v>2</v>
      </c>
      <c r="IO17" s="335" t="str">
        <f>IF(IK17="",II17,II17&amp;" ("&amp;IK17&amp;")")</f>
        <v>Daniil Ivanov</v>
      </c>
      <c r="IP17" s="350">
        <v>1</v>
      </c>
      <c r="IQ17" s="336" t="str">
        <f>IF(AR16="","",VLOOKUP(IP17,IN17:IO20,2,FALSE))</f>
        <v>Dimitry Khomitsevich</v>
      </c>
      <c r="IU17" s="1112"/>
      <c r="IV17" s="698"/>
      <c r="IW17" s="699" t="str">
        <f t="shared" si="71"/>
        <v/>
      </c>
      <c r="IX17" s="700"/>
      <c r="IZ17" s="1112"/>
      <c r="JA17" s="698"/>
      <c r="JB17" s="699" t="str">
        <f t="shared" si="72"/>
        <v/>
      </c>
      <c r="JC17" s="700"/>
      <c r="JE17" s="1112"/>
      <c r="JF17" s="698"/>
      <c r="JG17" s="699" t="str">
        <f t="shared" si="73"/>
        <v/>
      </c>
      <c r="JH17" s="700"/>
    </row>
    <row r="18" spans="1:268" ht="12.75" customHeight="1" thickBot="1">
      <c r="A18" s="1212"/>
      <c r="B18" s="39">
        <v>6</v>
      </c>
      <c r="C18" s="102">
        <f>R$7</f>
        <v>16</v>
      </c>
      <c r="D18" s="517" t="str">
        <f>S$7</f>
        <v>Rene Stellingwerf</v>
      </c>
      <c r="E18" s="1011" t="s">
        <v>313</v>
      </c>
      <c r="F18" s="525" t="str">
        <f t="shared" si="52"/>
        <v>N</v>
      </c>
      <c r="G18" s="1020">
        <v>17</v>
      </c>
      <c r="H18" s="1198" t="str">
        <f t="shared" si="53"/>
        <v>Simon Reitsma</v>
      </c>
      <c r="I18" s="1198"/>
      <c r="J18" s="1198"/>
      <c r="K18" s="1198"/>
      <c r="L18" s="508"/>
      <c r="M18" s="146">
        <f>IF(N16="","",IF(N16="w",3,IF(N17="w",2,IF(N18="w",1,IF(N19="w",0,0)))))</f>
        <v>0</v>
      </c>
      <c r="N18" s="707" t="s">
        <v>12</v>
      </c>
      <c r="O18" s="268"/>
      <c r="P18" s="1212"/>
      <c r="Q18" s="39">
        <v>15</v>
      </c>
      <c r="R18" s="102">
        <f>AG$8</f>
        <v>2</v>
      </c>
      <c r="S18" s="517" t="str">
        <f>AH$8</f>
        <v>Dimitry Koltakov</v>
      </c>
      <c r="T18" s="1011"/>
      <c r="U18" s="525" t="str">
        <f t="shared" si="80"/>
        <v/>
      </c>
      <c r="V18" s="1020"/>
      <c r="W18" s="1198" t="str">
        <f t="shared" si="54"/>
        <v/>
      </c>
      <c r="X18" s="1198"/>
      <c r="Y18" s="1198"/>
      <c r="Z18" s="1198"/>
      <c r="AA18" s="508"/>
      <c r="AB18" s="146">
        <f>IF(AC16="","",IF(AC16="w",3,IF(AC17="w",2,IF(AC18="w",1,IF(AC19="w",0,0)))))</f>
        <v>3</v>
      </c>
      <c r="AC18" s="724" t="s">
        <v>12</v>
      </c>
      <c r="AD18" s="269"/>
      <c r="AE18" s="1212"/>
      <c r="AF18" s="39">
        <v>7</v>
      </c>
      <c r="AG18" s="102">
        <f>R$8</f>
        <v>4</v>
      </c>
      <c r="AH18" s="517" t="str">
        <f>S$8</f>
        <v>Igor Kononov</v>
      </c>
      <c r="AI18" s="1011"/>
      <c r="AJ18" s="525" t="str">
        <f t="shared" si="55"/>
        <v/>
      </c>
      <c r="AK18" s="1020"/>
      <c r="AL18" s="1198" t="str">
        <f t="shared" si="56"/>
        <v/>
      </c>
      <c r="AM18" s="1198"/>
      <c r="AN18" s="1198"/>
      <c r="AO18" s="1198"/>
      <c r="AP18" s="508"/>
      <c r="AQ18" s="146">
        <f>IF(AR16="","",IF(AR16="w",3,IF(AR17="w",2,IF(AR18="w",1,IF(AR19="w",0,0)))))</f>
        <v>1</v>
      </c>
      <c r="AR18" s="724" t="s">
        <v>221</v>
      </c>
      <c r="AS18" s="268"/>
      <c r="AT18" s="195">
        <f t="shared" si="57"/>
        <v>7</v>
      </c>
      <c r="AU18" s="65" t="str">
        <f t="shared" si="58"/>
        <v/>
      </c>
      <c r="AV18" s="94" t="str">
        <f t="shared" si="59"/>
        <v>Gunter Bauer</v>
      </c>
      <c r="AW18" s="3">
        <f t="shared" si="60"/>
        <v>2</v>
      </c>
      <c r="AX18" s="4">
        <f t="shared" si="61"/>
        <v>2</v>
      </c>
      <c r="AY18" s="4">
        <f t="shared" si="62"/>
        <v>1</v>
      </c>
      <c r="AZ18" s="4">
        <f t="shared" si="63"/>
        <v>2</v>
      </c>
      <c r="BA18" s="26">
        <f t="shared" si="64"/>
        <v>2</v>
      </c>
      <c r="BB18" s="189">
        <f t="shared" si="65"/>
        <v>9</v>
      </c>
      <c r="BD18" s="192">
        <f t="shared" si="66"/>
        <v>7</v>
      </c>
      <c r="BE18" s="131" t="str">
        <f t="shared" si="74"/>
        <v>Gunter Bauer</v>
      </c>
      <c r="BF18" s="95">
        <f t="shared" si="75"/>
        <v>9</v>
      </c>
      <c r="BG18"/>
      <c r="BH18" s="390">
        <f t="shared" si="76"/>
        <v>0</v>
      </c>
      <c r="BI18" s="974">
        <v>12</v>
      </c>
      <c r="BK18" s="451">
        <v>10</v>
      </c>
      <c r="BN18" s="8">
        <f>$M18</f>
        <v>0</v>
      </c>
      <c r="BS18" s="8">
        <f>$AB18</f>
        <v>3</v>
      </c>
      <c r="BX18" s="8">
        <f>$AQ18</f>
        <v>1</v>
      </c>
      <c r="BY18" s="8"/>
      <c r="BZ18" s="16">
        <v>7</v>
      </c>
      <c r="CA18" s="16">
        <f t="shared" si="67"/>
        <v>12</v>
      </c>
      <c r="CB18" s="13">
        <v>3</v>
      </c>
      <c r="CC18" s="49">
        <f t="shared" si="4"/>
        <v>16</v>
      </c>
      <c r="CD18" s="50" t="str">
        <f>IF(CC18="","",IF(OR(CC19=CC18,CC17=CC18),"=",""))</f>
        <v/>
      </c>
      <c r="CE18" s="31">
        <v>16</v>
      </c>
      <c r="CF18" s="121">
        <f t="shared" si="5"/>
        <v>17</v>
      </c>
      <c r="CG18" s="126"/>
      <c r="CH18" s="74" t="str">
        <f t="shared" si="32"/>
        <v>Simon Reitsma</v>
      </c>
      <c r="CI18" s="278">
        <f t="shared" si="6"/>
        <v>5.0000000000000002E-5</v>
      </c>
      <c r="CJ18" s="85">
        <f t="shared" si="7"/>
        <v>0</v>
      </c>
      <c r="CK18" s="70">
        <f t="shared" si="8"/>
        <v>0</v>
      </c>
      <c r="CL18" s="70">
        <f t="shared" si="9"/>
        <v>0</v>
      </c>
      <c r="CM18" s="70">
        <f t="shared" si="10"/>
        <v>0</v>
      </c>
      <c r="CN18" s="86">
        <f t="shared" si="11"/>
        <v>0</v>
      </c>
      <c r="CO18" s="79">
        <f t="shared" si="33"/>
        <v>0</v>
      </c>
      <c r="CP18" s="52"/>
      <c r="CQ18" s="249"/>
      <c r="CR18" s="27">
        <f t="shared" si="12"/>
        <v>17</v>
      </c>
      <c r="CS18" s="258">
        <f>RANK(DP18,$DP$3:$DP$20)+COUNTIF(DP$3:DP18,DP18)-1</f>
        <v>8</v>
      </c>
      <c r="CT18" s="32">
        <f t="shared" si="49"/>
        <v>16</v>
      </c>
      <c r="CU18" s="423">
        <f>VLOOKUP(CW18,Draw!$B$3:$C$42,2,FALSE)</f>
        <v>5</v>
      </c>
      <c r="CV18" s="185">
        <f>VLOOKUP(CW18,Draw!$B$3:$C$42,2,FALSE)</f>
        <v>5</v>
      </c>
      <c r="CW18" s="33" t="str">
        <f t="shared" si="50"/>
        <v>Stefan Svensson</v>
      </c>
      <c r="CX18" s="4">
        <f t="shared" si="51"/>
        <v>2</v>
      </c>
      <c r="CY18" s="4">
        <f t="shared" si="51"/>
        <v>1</v>
      </c>
      <c r="CZ18" s="4">
        <f t="shared" si="51"/>
        <v>3</v>
      </c>
      <c r="DA18" s="4">
        <f t="shared" si="51"/>
        <v>2</v>
      </c>
      <c r="DB18" s="34">
        <f t="shared" si="51"/>
        <v>0</v>
      </c>
      <c r="DC18" s="250">
        <f t="shared" si="16"/>
        <v>8</v>
      </c>
      <c r="DD18" s="243">
        <f t="shared" si="17"/>
        <v>1</v>
      </c>
      <c r="DE18" s="236">
        <f t="shared" si="34"/>
        <v>0.01</v>
      </c>
      <c r="DF18" s="232">
        <f t="shared" si="18"/>
        <v>2</v>
      </c>
      <c r="DG18" s="234">
        <f t="shared" si="35"/>
        <v>2E-3</v>
      </c>
      <c r="DH18" s="232">
        <f t="shared" si="19"/>
        <v>1</v>
      </c>
      <c r="DI18" s="41">
        <f t="shared" si="36"/>
        <v>1E-4</v>
      </c>
      <c r="DJ18" s="271">
        <f t="shared" si="20"/>
        <v>1</v>
      </c>
      <c r="DK18" s="602">
        <f t="shared" si="37"/>
        <v>1.0000000000000001E-5</v>
      </c>
      <c r="DL18" s="281">
        <f t="shared" si="21"/>
        <v>0</v>
      </c>
      <c r="DM18" s="643">
        <f t="shared" si="48"/>
        <v>5.5000000000000003E-7</v>
      </c>
      <c r="DN18" s="284">
        <f t="shared" si="22"/>
        <v>8.0121099999999998</v>
      </c>
      <c r="DO18" s="284">
        <f t="shared" si="23"/>
        <v>8.0121099999999998</v>
      </c>
      <c r="DP18" s="647">
        <f t="shared" si="38"/>
        <v>8.0121105499999992</v>
      </c>
      <c r="DQ18" s="596"/>
      <c r="DR18" s="206" t="str">
        <f>IF($DN$18=$DN$3,$CV$18,"")</f>
        <v/>
      </c>
      <c r="DS18" s="38" t="str">
        <f>IF($DN$18=$DN$4,$CV$18,"")</f>
        <v/>
      </c>
      <c r="DT18" s="38" t="str">
        <f>IF($DN$18=$DN$5,$CV$18,"")</f>
        <v/>
      </c>
      <c r="DU18" s="38" t="str">
        <f>IF($DN$18=$DN$6,$CV$18,"")</f>
        <v/>
      </c>
      <c r="DV18" s="38" t="str">
        <f>IF($DN$18=$DN$7,$CV$18,"")</f>
        <v/>
      </c>
      <c r="DW18" s="38" t="str">
        <f>IF($DN$18=$DN$8,$CV$18,"")</f>
        <v/>
      </c>
      <c r="DX18" s="38" t="str">
        <f>IF($DN$18=$DN$9,$CV$18,"")</f>
        <v/>
      </c>
      <c r="DY18" s="38" t="str">
        <f>IF($DN$18=$DN$10,$CV$18,"")</f>
        <v/>
      </c>
      <c r="DZ18" s="38" t="str">
        <f>IF($DN$18=$DN$11,$CV$18,"")</f>
        <v/>
      </c>
      <c r="EA18" s="38" t="str">
        <f>IF($DN$18=$DN$12,$CV$18,"")</f>
        <v/>
      </c>
      <c r="EB18" s="38" t="str">
        <f>IF($DN$18=$DN$13,$CV$18,"")</f>
        <v/>
      </c>
      <c r="EC18" s="38" t="str">
        <f>IF($DN$18=$DN$14,$CV$18,"")</f>
        <v/>
      </c>
      <c r="ED18" s="38" t="str">
        <f>IF($DN$18=$DN$15,$CV$18,"")</f>
        <v/>
      </c>
      <c r="EE18" s="38" t="str">
        <f>IF($DN$18=$DN$16,$CV$18,"")</f>
        <v/>
      </c>
      <c r="EF18" s="38" t="str">
        <f>IF($DN$18=$DN$17,$CV$18,"")</f>
        <v/>
      </c>
      <c r="EG18" s="226"/>
      <c r="EH18" s="216">
        <f>$AG$9</f>
        <v>5</v>
      </c>
      <c r="EI18" s="206" t="str">
        <f>IF($DR$18="","",$FT$18)</f>
        <v/>
      </c>
      <c r="EJ18" s="38" t="str">
        <f>IF($DS$18="","",$FU$18)</f>
        <v/>
      </c>
      <c r="EK18" s="38" t="str">
        <f>IF($DT$18="","",$FV$18)</f>
        <v/>
      </c>
      <c r="EL18" s="38" t="str">
        <f>IF($DU$18="","",$FW$18)</f>
        <v/>
      </c>
      <c r="EM18" s="38" t="str">
        <f>IF($DV$18="","",$FX$18)</f>
        <v/>
      </c>
      <c r="EN18" s="38" t="str">
        <f>IF($DW$18="","",$FY$18)</f>
        <v/>
      </c>
      <c r="EO18" s="38" t="str">
        <f>IF($DX$18="","",$FZ$18)</f>
        <v/>
      </c>
      <c r="EP18" s="38" t="str">
        <f>IF($DY$18="","",$GA$18)</f>
        <v/>
      </c>
      <c r="EQ18" s="38" t="str">
        <f>IF($DZ$18="","",$GB$18)</f>
        <v/>
      </c>
      <c r="ER18" s="38" t="str">
        <f>IF($EA$18="","",$GC$18)</f>
        <v/>
      </c>
      <c r="ES18" s="38" t="str">
        <f>IF($EB$18="","",$GD$18)</f>
        <v/>
      </c>
      <c r="ET18" s="38" t="str">
        <f>IF($EC$18="","",$GE$18)</f>
        <v/>
      </c>
      <c r="EU18" s="38" t="str">
        <f>IF($ED$18="","",$GF$18)</f>
        <v/>
      </c>
      <c r="EV18" s="38" t="str">
        <f>IF($EE$18="","",$GG$18)</f>
        <v/>
      </c>
      <c r="EW18" s="38" t="str">
        <f>IF($EF$18="","",$GH$18)</f>
        <v/>
      </c>
      <c r="EX18" s="226"/>
      <c r="EY18" s="231">
        <f>COUNTIF($EI$18:$EX$18,$EH$18)</f>
        <v>0</v>
      </c>
      <c r="FA18" s="130">
        <f t="shared" si="24"/>
        <v>5</v>
      </c>
      <c r="FB18" s="13" t="str">
        <f t="shared" si="25"/>
        <v>Stefan Svensson</v>
      </c>
      <c r="FC18" s="129">
        <f t="shared" si="39"/>
        <v>0</v>
      </c>
      <c r="FD18" s="129">
        <f t="shared" si="26"/>
        <v>0</v>
      </c>
      <c r="FE18" s="504">
        <v>0</v>
      </c>
      <c r="FF18" s="129">
        <f t="shared" si="40"/>
        <v>0</v>
      </c>
      <c r="FG18" s="483">
        <f t="shared" si="27"/>
        <v>8.0121105499999992</v>
      </c>
      <c r="FH18" s="483">
        <f t="shared" si="41"/>
        <v>8.0121105499999992</v>
      </c>
      <c r="FI18" s="176">
        <f t="shared" si="42"/>
        <v>8.0121105499999992</v>
      </c>
      <c r="FJ18" s="484">
        <f t="shared" si="28"/>
        <v>8.0121105499999992</v>
      </c>
      <c r="FK18" s="16">
        <f t="shared" si="29"/>
        <v>8</v>
      </c>
      <c r="FL18" s="710">
        <v>16</v>
      </c>
      <c r="FM18" s="710">
        <f t="shared" si="43"/>
        <v>8</v>
      </c>
      <c r="FN18" s="512"/>
      <c r="FO18" s="13" t="str">
        <f t="shared" si="44"/>
        <v>Simon Reitsma</v>
      </c>
      <c r="FP18" s="496">
        <f t="shared" si="47"/>
        <v>0</v>
      </c>
      <c r="FQ18" s="13">
        <f t="shared" si="30"/>
        <v>0</v>
      </c>
      <c r="FS18" s="216">
        <f>$AG$9</f>
        <v>5</v>
      </c>
      <c r="FT18" s="206">
        <f>IF($AB$14&gt;$AB$13,$FS$3,IF($AB$13&gt;$AB$14,$FS$18,""))</f>
        <v>5</v>
      </c>
      <c r="FU18" s="38">
        <f>IF($AQ$17&gt;$AQ$19,$FS$4,IF($AQ$19&gt;$AQ$17,$FS$18,""))</f>
        <v>3</v>
      </c>
      <c r="FV18" s="38">
        <f>IF($AB$37&gt;$AB$36,$FS$5,IF($AB$36&gt;$AB$37,$FS$18,""))</f>
        <v>10</v>
      </c>
      <c r="FW18" s="38">
        <f>IF($M$40&gt;$M$43,$FS$6,IF($M$43&gt;$M$40,$FS$18,""))</f>
        <v>5</v>
      </c>
      <c r="FX18" s="38">
        <f>IF($AB$39&gt;$AB$36,$FS$7,IF($AB$36&gt;$AB$39,$FS$18,""))</f>
        <v>5</v>
      </c>
      <c r="FY18" s="38">
        <f>IF($AB$12&gt;$AB$13,$FS$8,IF($AB$13&gt;$AB$12,$FS$18,""))</f>
        <v>5</v>
      </c>
      <c r="FZ18" s="213">
        <f>IF($AQ$18&gt;$AQ$19,$FS$9,IF($AQ$19&gt;$AQ$18,$FS$18,""))</f>
        <v>4</v>
      </c>
      <c r="GA18" s="38">
        <f>IF($M$41&gt;$M$43,$FS$10,IF($M$43&gt;$M$41,$FS$18,""))</f>
        <v>7</v>
      </c>
      <c r="GB18" s="38">
        <f>IF($AQ$16&gt;$AQ$19,$FS$11,IF($AQ$19&gt;$AQ$16,$FS$18,""))</f>
        <v>1</v>
      </c>
      <c r="GC18" s="213">
        <f>IF($AB$38&gt;$AB$36,$FS$12,IF($AB$36&gt;$AB$38,$FS$18,""))</f>
        <v>5</v>
      </c>
      <c r="GD18" s="38">
        <f>IF($AB$15&gt;$AB$13,$FS$13,IF($AB$13&gt;$AB$15,$FS$18,""))</f>
        <v>5</v>
      </c>
      <c r="GE18" s="38">
        <f>IF($M$42&gt;$M$43,$FS$14,IF($M$43&gt;$M$42,$FS$18,""))</f>
        <v>11</v>
      </c>
      <c r="GF18" s="38">
        <f>IF($M$27&gt;$M$26,$FS$15,IF($M$26&gt;$M$27,$FS$18,""))</f>
        <v>5</v>
      </c>
      <c r="GG18" s="38">
        <f>IF($M$25&gt;$M$26,$FS$16,IF($M$26&gt;$M$25,$FS$18,""))</f>
        <v>5</v>
      </c>
      <c r="GH18" s="38">
        <f>IF($M$24&gt;$M$26,$FS$17,IF($M$26&gt;$M$24,$FS$18,""))</f>
        <v>2</v>
      </c>
      <c r="GI18" s="212"/>
      <c r="GK18" s="8">
        <v>16</v>
      </c>
      <c r="GL18" s="206"/>
      <c r="GM18" s="38"/>
      <c r="GN18" s="38"/>
      <c r="GO18" s="38"/>
      <c r="GP18" s="295"/>
      <c r="GQ18" s="231">
        <f t="shared" si="46"/>
        <v>0</v>
      </c>
      <c r="GR18" s="601">
        <f t="shared" si="45"/>
        <v>0</v>
      </c>
      <c r="GW18" s="1144"/>
      <c r="GX18" s="230">
        <f>IF($N$16="","",IF($IW$18=$GX$3,$IX$18,IF(AND($H$18=$GX$3,$L$18&lt;&gt;""),$L$18,IF(AND($H$18=$GX$3,$L$18=""),$M$18,""))))</f>
        <v>0</v>
      </c>
      <c r="GY18" s="301">
        <v>74</v>
      </c>
      <c r="GZ18" s="5">
        <f t="shared" si="77"/>
        <v>74</v>
      </c>
      <c r="HA18" s="95">
        <f t="shared" si="68"/>
        <v>1</v>
      </c>
      <c r="HB18" s="5"/>
      <c r="HC18" s="95">
        <f t="shared" si="78"/>
        <v>0</v>
      </c>
      <c r="HG18" s="1144"/>
      <c r="HH18" s="230" t="str">
        <f>IF($N$16="","",IF($IW$18=$HH$3,$IX$18,IF(AND($H$18=$HH$3,$L$18&lt;&gt;""),$L$18,IF(AND($H$18=$HH$3,$L$18=""),$M$18,""))))</f>
        <v/>
      </c>
      <c r="HI18" s="301">
        <v>74</v>
      </c>
      <c r="HJ18" s="5" t="str">
        <f t="shared" si="79"/>
        <v/>
      </c>
      <c r="HK18" s="95" t="str">
        <f t="shared" si="69"/>
        <v/>
      </c>
      <c r="HL18" s="5"/>
      <c r="HM18" s="95" t="str">
        <f t="shared" si="70"/>
        <v/>
      </c>
      <c r="HN18" s="1149"/>
      <c r="HO18" s="131" t="str">
        <f>IF($H17="",$D17,$H17)</f>
        <v>Igor Kononov</v>
      </c>
      <c r="HP18" s="327"/>
      <c r="HQ18" s="327" t="str">
        <f>IF($L17="","",$L17)</f>
        <v/>
      </c>
      <c r="HR18" s="327">
        <v>0.03</v>
      </c>
      <c r="HS18" s="458">
        <f>IF($M17="","",SUM(HR18+$M17))</f>
        <v>3.03</v>
      </c>
      <c r="HT18" s="327">
        <f>RANK(HS18,HS17:HS20)</f>
        <v>1</v>
      </c>
      <c r="HU18" s="327" t="str">
        <f>IF(HQ18="",HO18,HO18&amp;" ("&amp;HQ18&amp;")")</f>
        <v>Igor Kononov</v>
      </c>
      <c r="HV18" s="328">
        <v>2</v>
      </c>
      <c r="HW18" s="337" t="str">
        <f>IF(N16="","",VLOOKUP(HV18,HT17:HU20,2,FALSE))</f>
        <v>Gunter Bauer</v>
      </c>
      <c r="HX18" s="1149"/>
      <c r="HY18" s="131" t="str">
        <f>IF($W17="",$S17,$W17)</f>
        <v>Antonin Klatovsky</v>
      </c>
      <c r="HZ18" s="327"/>
      <c r="IA18" s="327" t="str">
        <f>IF($AA17="","",$AA17)</f>
        <v/>
      </c>
      <c r="IB18" s="327">
        <v>0.03</v>
      </c>
      <c r="IC18" s="458">
        <f>IF($AB17="","",SUM(IB18+$AB17))</f>
        <v>0.03</v>
      </c>
      <c r="ID18" s="327">
        <f>RANK(IC18,IC17:IC20)</f>
        <v>4</v>
      </c>
      <c r="IE18" s="327" t="str">
        <f>IF(IA18="",HY18,HY18&amp;" ("&amp;IA18&amp;")")</f>
        <v>Antonin Klatovsky</v>
      </c>
      <c r="IF18" s="344">
        <v>2</v>
      </c>
      <c r="IG18" s="337" t="str">
        <f>IF(AC16="","",VLOOKUP(IF18,ID17:IE20,2,FALSE))</f>
        <v>Dimitry Khomitsevich</v>
      </c>
      <c r="IH18" s="1149"/>
      <c r="II18" s="131" t="str">
        <f>IF($AL17="",$AH17,$AL17)</f>
        <v>Dimitry Khomitsevich</v>
      </c>
      <c r="IJ18" s="327"/>
      <c r="IK18" s="327" t="str">
        <f>IF($AP17="","",$AP17)</f>
        <v/>
      </c>
      <c r="IL18" s="327">
        <v>0.03</v>
      </c>
      <c r="IM18" s="327">
        <f>IF($AQ17="","",SUM(IL18+$AQ17))</f>
        <v>3.03</v>
      </c>
      <c r="IN18" s="327">
        <f>RANK(IM18,IM17:IM20)</f>
        <v>1</v>
      </c>
      <c r="IO18" s="327" t="str">
        <f>IF(IK18="",II18,II18&amp;" ("&amp;IK18&amp;")")</f>
        <v>Dimitry Khomitsevich</v>
      </c>
      <c r="IP18" s="344">
        <v>2</v>
      </c>
      <c r="IQ18" s="337" t="str">
        <f>IF(AR16="","",VLOOKUP(IP18,IN17:IO20,2,FALSE))</f>
        <v>Daniil Ivanov</v>
      </c>
      <c r="IU18" s="1112"/>
      <c r="IV18" s="701"/>
      <c r="IW18" s="699" t="str">
        <f t="shared" si="71"/>
        <v/>
      </c>
      <c r="IX18" s="700"/>
      <c r="IZ18" s="1112"/>
      <c r="JA18" s="701"/>
      <c r="JB18" s="699" t="str">
        <f t="shared" si="72"/>
        <v/>
      </c>
      <c r="JC18" s="700"/>
      <c r="JE18" s="1112"/>
      <c r="JF18" s="701"/>
      <c r="JG18" s="699" t="str">
        <f t="shared" si="73"/>
        <v/>
      </c>
      <c r="JH18" s="700"/>
    </row>
    <row r="19" spans="1:268" ht="12.75" customHeight="1" thickBot="1">
      <c r="A19" s="918" t="s">
        <v>406</v>
      </c>
      <c r="B19" s="330">
        <v>8</v>
      </c>
      <c r="C19" s="107">
        <f>R$9</f>
        <v>7</v>
      </c>
      <c r="D19" s="518" t="str">
        <f>S$9</f>
        <v>Gunter Bauer</v>
      </c>
      <c r="E19" s="1012"/>
      <c r="F19" s="526" t="str">
        <f t="shared" si="52"/>
        <v/>
      </c>
      <c r="G19" s="1021"/>
      <c r="H19" s="1197" t="str">
        <f t="shared" si="53"/>
        <v/>
      </c>
      <c r="I19" s="1197"/>
      <c r="J19" s="1197"/>
      <c r="K19" s="1197"/>
      <c r="L19" s="509"/>
      <c r="M19" s="149">
        <f>IF(N16="","",IF(N16="y",3,IF(N17="y",2,IF(N18="y",1,IF(N19="y",0,0)))))</f>
        <v>2</v>
      </c>
      <c r="N19" s="708" t="s">
        <v>221</v>
      </c>
      <c r="O19" s="268"/>
      <c r="P19" s="918" t="s">
        <v>410</v>
      </c>
      <c r="Q19" s="330">
        <v>2</v>
      </c>
      <c r="R19" s="107">
        <f>R$3</f>
        <v>3</v>
      </c>
      <c r="S19" s="518" t="str">
        <f>S$3</f>
        <v>Dimitry Khomitsevich</v>
      </c>
      <c r="T19" s="1012"/>
      <c r="U19" s="526" t="str">
        <f t="shared" si="80"/>
        <v/>
      </c>
      <c r="V19" s="1021"/>
      <c r="W19" s="1197" t="str">
        <f t="shared" si="54"/>
        <v/>
      </c>
      <c r="X19" s="1197"/>
      <c r="Y19" s="1197"/>
      <c r="Z19" s="1197"/>
      <c r="AA19" s="509"/>
      <c r="AB19" s="149">
        <f>IF(AC16="","",IF(AC16="y",3,IF(AC17="y",2,IF(AC18="y",1,IF(AC19="y",0,0)))))</f>
        <v>2</v>
      </c>
      <c r="AC19" s="725" t="s">
        <v>46</v>
      </c>
      <c r="AD19" s="269"/>
      <c r="AE19" s="918" t="s">
        <v>418</v>
      </c>
      <c r="AF19" s="330">
        <v>16</v>
      </c>
      <c r="AG19" s="107">
        <f>AG$9</f>
        <v>5</v>
      </c>
      <c r="AH19" s="518" t="str">
        <f>AH$9</f>
        <v>Stefan Svensson</v>
      </c>
      <c r="AI19" s="1012"/>
      <c r="AJ19" s="526" t="str">
        <f t="shared" si="55"/>
        <v/>
      </c>
      <c r="AK19" s="1021"/>
      <c r="AL19" s="1197" t="str">
        <f t="shared" si="56"/>
        <v/>
      </c>
      <c r="AM19" s="1197"/>
      <c r="AN19" s="1197"/>
      <c r="AO19" s="1197"/>
      <c r="AP19" s="509"/>
      <c r="AQ19" s="149">
        <f>IF(AR16="","",IF(AR16="y",3,IF(AR17="y",2,IF(AR18="y",1,IF(AR19="y",0,0)))))</f>
        <v>0</v>
      </c>
      <c r="AR19" s="725" t="s">
        <v>222</v>
      </c>
      <c r="AS19" s="268"/>
      <c r="AT19" s="196">
        <f t="shared" si="57"/>
        <v>8</v>
      </c>
      <c r="AU19" s="66" t="str">
        <f t="shared" si="58"/>
        <v/>
      </c>
      <c r="AV19" s="96" t="str">
        <f t="shared" si="59"/>
        <v>Stefan Svensson</v>
      </c>
      <c r="AW19" s="15">
        <f t="shared" si="60"/>
        <v>2</v>
      </c>
      <c r="AX19" s="38">
        <f t="shared" si="61"/>
        <v>1</v>
      </c>
      <c r="AY19" s="38">
        <f t="shared" si="62"/>
        <v>3</v>
      </c>
      <c r="AZ19" s="38">
        <f t="shared" si="63"/>
        <v>2</v>
      </c>
      <c r="BA19" s="97">
        <f t="shared" si="64"/>
        <v>0</v>
      </c>
      <c r="BB19" s="190">
        <f t="shared" si="65"/>
        <v>8</v>
      </c>
      <c r="BD19" s="192">
        <f t="shared" si="66"/>
        <v>5</v>
      </c>
      <c r="BE19" s="131" t="str">
        <f t="shared" si="74"/>
        <v>Stefan Svensson</v>
      </c>
      <c r="BF19" s="95">
        <f t="shared" si="75"/>
        <v>8</v>
      </c>
      <c r="BG19"/>
      <c r="BH19" s="390">
        <f t="shared" si="76"/>
        <v>0</v>
      </c>
      <c r="BI19" s="974">
        <v>11</v>
      </c>
      <c r="BK19" s="452">
        <v>9</v>
      </c>
      <c r="BO19" s="8">
        <f>$M19</f>
        <v>2</v>
      </c>
      <c r="BT19" s="8">
        <f>$AB19</f>
        <v>2</v>
      </c>
      <c r="BY19" s="8">
        <f>$AQ19</f>
        <v>0</v>
      </c>
      <c r="BZ19" s="16">
        <v>8</v>
      </c>
      <c r="CA19" s="16">
        <f t="shared" si="67"/>
        <v>9</v>
      </c>
      <c r="CB19" s="13">
        <v>4</v>
      </c>
      <c r="CC19" s="49">
        <f t="shared" si="4"/>
        <v>17</v>
      </c>
      <c r="CD19" s="50" t="str">
        <f>IF(CC19="","",IF(OR(CC20=CC19,CC18=CC19),"=",""))</f>
        <v>=</v>
      </c>
      <c r="CE19" s="31">
        <v>17</v>
      </c>
      <c r="CF19" s="121">
        <f t="shared" si="5"/>
        <v>6</v>
      </c>
      <c r="CG19" s="126"/>
      <c r="CH19" s="74" t="str">
        <f t="shared" si="32"/>
        <v>Rene Stellingwerf</v>
      </c>
      <c r="CI19" s="278">
        <f t="shared" si="6"/>
        <v>0</v>
      </c>
      <c r="CJ19" s="85" t="str">
        <f t="shared" si="7"/>
        <v>N</v>
      </c>
      <c r="CK19" s="70" t="str">
        <f t="shared" si="8"/>
        <v>N</v>
      </c>
      <c r="CL19" s="70" t="str">
        <f t="shared" si="9"/>
        <v>N</v>
      </c>
      <c r="CM19" s="70" t="str">
        <f t="shared" si="10"/>
        <v>N</v>
      </c>
      <c r="CN19" s="86" t="str">
        <f t="shared" si="11"/>
        <v>N</v>
      </c>
      <c r="CO19" s="79">
        <f t="shared" si="33"/>
        <v>0</v>
      </c>
      <c r="CP19" s="52"/>
      <c r="CQ19" s="249"/>
      <c r="CR19" s="27">
        <f t="shared" si="12"/>
        <v>6</v>
      </c>
      <c r="CS19" s="258">
        <f>RANK(DP19,$DP$3:$DP$20)+COUNTIF(DP$3:DP19,DP19)-1</f>
        <v>16</v>
      </c>
      <c r="CT19" s="32">
        <f>Q10</f>
        <v>17</v>
      </c>
      <c r="CU19" s="423">
        <f>VLOOKUP(CW19,Draw!$B$3:$C$42,2,FALSE)</f>
        <v>17</v>
      </c>
      <c r="CV19" s="185">
        <f>VLOOKUP(CW19,Draw!$B$3:$C$42,2,FALSE)</f>
        <v>17</v>
      </c>
      <c r="CW19" s="33" t="str">
        <f>S10</f>
        <v>Simon Reitsma</v>
      </c>
      <c r="CX19" s="4">
        <f>W10</f>
        <v>0</v>
      </c>
      <c r="CY19" s="4">
        <f>X10</f>
        <v>0</v>
      </c>
      <c r="CZ19" s="4">
        <f>Y10</f>
        <v>0</v>
      </c>
      <c r="DA19" s="4">
        <f>Z10</f>
        <v>0</v>
      </c>
      <c r="DB19" s="34">
        <f>AA10</f>
        <v>0</v>
      </c>
      <c r="DC19" s="250">
        <f t="shared" si="16"/>
        <v>0</v>
      </c>
      <c r="DD19" s="243">
        <f t="shared" si="17"/>
        <v>0</v>
      </c>
      <c r="DE19" s="236">
        <f t="shared" si="34"/>
        <v>0</v>
      </c>
      <c r="DF19" s="232">
        <f t="shared" si="18"/>
        <v>0</v>
      </c>
      <c r="DG19" s="234">
        <f t="shared" si="35"/>
        <v>0</v>
      </c>
      <c r="DH19" s="232">
        <f t="shared" si="19"/>
        <v>0</v>
      </c>
      <c r="DI19" s="41">
        <f t="shared" si="36"/>
        <v>0</v>
      </c>
      <c r="DJ19" s="271">
        <f t="shared" si="20"/>
        <v>5</v>
      </c>
      <c r="DK19" s="602">
        <f t="shared" si="37"/>
        <v>5.0000000000000002E-5</v>
      </c>
      <c r="DL19" s="281">
        <f>IF(EZ19=0,0,EZ19/1000000)</f>
        <v>0</v>
      </c>
      <c r="DM19" s="644">
        <f t="shared" si="48"/>
        <v>4.3000000000000001E-7</v>
      </c>
      <c r="DN19" s="285">
        <f t="shared" si="22"/>
        <v>5.0000000000000002E-5</v>
      </c>
      <c r="DO19" s="285">
        <f t="shared" si="23"/>
        <v>5.0000000000000002E-5</v>
      </c>
      <c r="DP19" s="648">
        <f t="shared" si="38"/>
        <v>5.0430000000000003E-5</v>
      </c>
      <c r="DQ19" s="597"/>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130">
        <f t="shared" si="24"/>
        <v>17</v>
      </c>
      <c r="FB19" s="8" t="str">
        <f t="shared" si="25"/>
        <v>Simon Reitsma</v>
      </c>
      <c r="FC19" s="129">
        <f t="shared" si="39"/>
        <v>0</v>
      </c>
      <c r="FD19" s="129">
        <f t="shared" si="26"/>
        <v>0</v>
      </c>
      <c r="FE19" s="504">
        <v>0</v>
      </c>
      <c r="FF19" s="129">
        <f t="shared" si="40"/>
        <v>0</v>
      </c>
      <c r="FG19" s="483">
        <f t="shared" si="27"/>
        <v>5.0430000000000003E-5</v>
      </c>
      <c r="FH19" s="483">
        <f t="shared" si="41"/>
        <v>5.0430000000000003E-5</v>
      </c>
      <c r="FI19" s="8">
        <f t="shared" si="42"/>
        <v>5.0430000000000003E-5</v>
      </c>
      <c r="FJ19" s="484">
        <f t="shared" si="28"/>
        <v>5.0430000000000003E-5</v>
      </c>
      <c r="FK19" s="16">
        <f t="shared" si="29"/>
        <v>16</v>
      </c>
      <c r="FL19" s="710">
        <v>17</v>
      </c>
      <c r="FM19" s="710">
        <f t="shared" si="43"/>
        <v>0</v>
      </c>
      <c r="FN19" s="512"/>
      <c r="FO19" s="8" t="str">
        <f t="shared" si="44"/>
        <v>Rene Stellingwerf</v>
      </c>
      <c r="FP19" s="496">
        <f t="shared" si="47"/>
        <v>0</v>
      </c>
      <c r="FQ19" s="13">
        <f t="shared" si="30"/>
        <v>0</v>
      </c>
      <c r="FR19" s="8"/>
      <c r="FS19" s="218">
        <v>11</v>
      </c>
      <c r="FT19" s="209" t="s">
        <v>34</v>
      </c>
      <c r="FU19" s="8"/>
      <c r="FV19" s="8"/>
      <c r="FW19" s="8"/>
      <c r="FX19" s="8"/>
      <c r="FY19" s="8"/>
      <c r="FZ19" s="8"/>
      <c r="GA19" s="8"/>
      <c r="GB19" s="8"/>
      <c r="GC19" s="8"/>
      <c r="GD19" s="8"/>
      <c r="GE19" s="8"/>
      <c r="GF19" s="8"/>
      <c r="GG19" s="8"/>
      <c r="GH19" s="8"/>
      <c r="GI19" s="8"/>
      <c r="GW19" s="1145"/>
      <c r="GX19" s="231" t="str">
        <f>IF($N$16="","",IF($IW$19=$GX$3,$IX$19,IF(AND($H$19=$GX$3,$L$19&lt;&gt;""),$L$19,IF(AND($H$19=$GX$3,$L$19=""),$M$19,""))))</f>
        <v/>
      </c>
      <c r="GY19" s="302">
        <v>73</v>
      </c>
      <c r="GZ19" s="303" t="str">
        <f t="shared" si="77"/>
        <v/>
      </c>
      <c r="HA19" s="98" t="str">
        <f t="shared" si="68"/>
        <v/>
      </c>
      <c r="HB19" s="303"/>
      <c r="HC19" s="98" t="str">
        <f t="shared" si="78"/>
        <v/>
      </c>
      <c r="HG19" s="1145"/>
      <c r="HH19" s="231" t="str">
        <f>IF($N$16="","",IF($IW$19=$HH$3,$IX$19,IF(AND($H$19=$HH$3,$L$19&lt;&gt;""),$L$19,IF(AND($H$19=$HH$3,$L$19=""),$M$19,""))))</f>
        <v/>
      </c>
      <c r="HI19" s="302">
        <v>73</v>
      </c>
      <c r="HJ19" s="303" t="str">
        <f t="shared" si="79"/>
        <v/>
      </c>
      <c r="HK19" s="98" t="str">
        <f t="shared" si="69"/>
        <v/>
      </c>
      <c r="HL19" s="303"/>
      <c r="HM19" s="98" t="str">
        <f t="shared" si="70"/>
        <v/>
      </c>
      <c r="HN19" s="1149"/>
      <c r="HO19" s="131" t="str">
        <f>IF($H18="",$D18,$H18)</f>
        <v>Simon Reitsma</v>
      </c>
      <c r="HP19" s="327"/>
      <c r="HQ19" s="327" t="str">
        <f>IF($L18="","",$L18)</f>
        <v/>
      </c>
      <c r="HR19" s="327">
        <v>0.02</v>
      </c>
      <c r="HS19" s="458">
        <f>IF($M18="","",SUM(HR19+$M18))</f>
        <v>0.02</v>
      </c>
      <c r="HT19" s="327">
        <f>RANK(HS19,HS17:HS20)</f>
        <v>4</v>
      </c>
      <c r="HU19" s="327" t="str">
        <f>IF(HQ19="",HO19,HO19&amp;" ("&amp;HQ19&amp;")")</f>
        <v>Simon Reitsma</v>
      </c>
      <c r="HV19" s="328">
        <v>3</v>
      </c>
      <c r="HW19" s="337" t="str">
        <f>IF(N16="","",VLOOKUP(HV19,HT17:HU20,2,FALSE))</f>
        <v>Antonin Klatovsky</v>
      </c>
      <c r="HX19" s="1149"/>
      <c r="HY19" s="131" t="str">
        <f>IF($W18="",$S18,$W18)</f>
        <v>Dimitry Koltakov</v>
      </c>
      <c r="HZ19" s="327"/>
      <c r="IA19" s="327" t="str">
        <f>IF($AA18="","",$AA18)</f>
        <v/>
      </c>
      <c r="IB19" s="327">
        <v>0.02</v>
      </c>
      <c r="IC19" s="458">
        <f>IF($AB18="","",SUM(IB19+$AB18))</f>
        <v>3.02</v>
      </c>
      <c r="ID19" s="327">
        <f>RANK(IC19,IC17:IC20)</f>
        <v>1</v>
      </c>
      <c r="IE19" s="327" t="str">
        <f>IF(IA19="",HY19,HY19&amp;" ("&amp;IA19&amp;")")</f>
        <v>Dimitry Koltakov</v>
      </c>
      <c r="IF19" s="344">
        <v>3</v>
      </c>
      <c r="IG19" s="337" t="str">
        <f>IF(AC16="","",VLOOKUP(IF19,ID17:IE20,2,FALSE))</f>
        <v>Vitaly Khomitsevich</v>
      </c>
      <c r="IH19" s="1149"/>
      <c r="II19" s="131" t="str">
        <f>IF($AL18="",$AH18,$AL18)</f>
        <v>Igor Kononov</v>
      </c>
      <c r="IJ19" s="327"/>
      <c r="IK19" s="327" t="str">
        <f>IF($AP18="","",$AP18)</f>
        <v/>
      </c>
      <c r="IL19" s="327">
        <v>0.02</v>
      </c>
      <c r="IM19" s="327">
        <f>IF($AQ18="","",SUM(IL19+$AQ18))</f>
        <v>1.02</v>
      </c>
      <c r="IN19" s="327">
        <f>RANK(IM19,IM17:IM20)</f>
        <v>3</v>
      </c>
      <c r="IO19" s="327" t="str">
        <f>IF(IK19="",II19,II19&amp;" ("&amp;IK19&amp;")")</f>
        <v>Igor Kononov</v>
      </c>
      <c r="IP19" s="344">
        <v>3</v>
      </c>
      <c r="IQ19" s="337" t="str">
        <f>IF(AR16="","",VLOOKUP(IP19,IN17:IO20,2,FALSE))</f>
        <v>Igor Kononov</v>
      </c>
      <c r="IU19" s="1113"/>
      <c r="IV19" s="702"/>
      <c r="IW19" s="703" t="str">
        <f t="shared" si="71"/>
        <v/>
      </c>
      <c r="IX19" s="704"/>
      <c r="IZ19" s="1113"/>
      <c r="JA19" s="702"/>
      <c r="JB19" s="703" t="str">
        <f t="shared" si="72"/>
        <v/>
      </c>
      <c r="JC19" s="704"/>
      <c r="JE19" s="1113"/>
      <c r="JF19" s="702"/>
      <c r="JG19" s="703" t="str">
        <f t="shared" si="73"/>
        <v/>
      </c>
      <c r="JH19" s="704"/>
    </row>
    <row r="20" spans="1:268" ht="12.75" customHeight="1" thickBot="1">
      <c r="A20" s="1211">
        <v>3</v>
      </c>
      <c r="B20" s="329">
        <v>10</v>
      </c>
      <c r="C20" s="106">
        <f>AG$3</f>
        <v>12</v>
      </c>
      <c r="D20" s="516" t="str">
        <f>AH$3</f>
        <v>Hans Weber</v>
      </c>
      <c r="E20" s="1010"/>
      <c r="F20" s="524" t="str">
        <f t="shared" si="52"/>
        <v/>
      </c>
      <c r="G20" s="1018"/>
      <c r="H20" s="1210" t="str">
        <f t="shared" si="53"/>
        <v/>
      </c>
      <c r="I20" s="1210"/>
      <c r="J20" s="1210"/>
      <c r="K20" s="1210"/>
      <c r="L20" s="510"/>
      <c r="M20" s="93">
        <f>IF(N20="","",IF(N20="R",3,IF(N21="R",2,IF(N22="R",1,IF(N23="R",0,0)))))</f>
        <v>0</v>
      </c>
      <c r="N20" s="706" t="s">
        <v>221</v>
      </c>
      <c r="O20" s="268"/>
      <c r="P20" s="1211">
        <v>11</v>
      </c>
      <c r="Q20" s="329">
        <v>8</v>
      </c>
      <c r="R20" s="106">
        <f>R$9</f>
        <v>7</v>
      </c>
      <c r="S20" s="516" t="str">
        <f>S$9</f>
        <v>Gunter Bauer</v>
      </c>
      <c r="T20" s="1010"/>
      <c r="U20" s="524" t="str">
        <f t="shared" si="80"/>
        <v/>
      </c>
      <c r="V20" s="1018"/>
      <c r="W20" s="1210" t="str">
        <f t="shared" si="54"/>
        <v/>
      </c>
      <c r="X20" s="1210"/>
      <c r="Y20" s="1210"/>
      <c r="Z20" s="1210"/>
      <c r="AA20" s="510"/>
      <c r="AB20" s="93">
        <f>IF(AC20="","",IF(AC20="R",3,IF(AC21="R",2,IF(AC22="R",1,IF(AC23="R",0,0)))))</f>
        <v>1</v>
      </c>
      <c r="AC20" s="723" t="s">
        <v>46</v>
      </c>
      <c r="AD20" s="269"/>
      <c r="AE20" s="1211">
        <v>19</v>
      </c>
      <c r="AF20" s="329">
        <v>3</v>
      </c>
      <c r="AG20" s="106">
        <f>R$4</f>
        <v>10</v>
      </c>
      <c r="AH20" s="516" t="str">
        <f>S$4</f>
        <v>Franz Zorn</v>
      </c>
      <c r="AI20" s="1010"/>
      <c r="AJ20" s="524" t="str">
        <f t="shared" si="55"/>
        <v/>
      </c>
      <c r="AK20" s="1018"/>
      <c r="AL20" s="1210" t="str">
        <f t="shared" si="56"/>
        <v/>
      </c>
      <c r="AM20" s="1210"/>
      <c r="AN20" s="1210"/>
      <c r="AO20" s="1210"/>
      <c r="AP20" s="510"/>
      <c r="AQ20" s="93">
        <f>IF(AR20="","",IF(AR20="R",3,IF(AR21="R",2,IF(AR22="R",1,IF(AR23="R",0,0)))))</f>
        <v>2</v>
      </c>
      <c r="AR20" s="723" t="s">
        <v>46</v>
      </c>
      <c r="AS20" s="268"/>
      <c r="AT20" s="688">
        <f t="shared" si="57"/>
        <v>9</v>
      </c>
      <c r="AU20" s="64" t="str">
        <f t="shared" si="58"/>
        <v/>
      </c>
      <c r="AV20" s="148" t="str">
        <f t="shared" si="59"/>
        <v>Hans Weber</v>
      </c>
      <c r="AW20" s="29">
        <f t="shared" si="60"/>
        <v>0</v>
      </c>
      <c r="AX20" s="35">
        <f t="shared" si="61"/>
        <v>2</v>
      </c>
      <c r="AY20" s="35">
        <f t="shared" si="62"/>
        <v>2</v>
      </c>
      <c r="AZ20" s="35">
        <f t="shared" si="63"/>
        <v>1</v>
      </c>
      <c r="BA20" s="30">
        <f t="shared" si="64"/>
        <v>1</v>
      </c>
      <c r="BB20" s="191">
        <f t="shared" si="65"/>
        <v>6</v>
      </c>
      <c r="BD20" s="192">
        <f t="shared" si="66"/>
        <v>12</v>
      </c>
      <c r="BE20" s="131" t="str">
        <f t="shared" si="74"/>
        <v>Hans Weber</v>
      </c>
      <c r="BF20" s="95">
        <f t="shared" si="75"/>
        <v>6</v>
      </c>
      <c r="BG20"/>
      <c r="BH20" s="390">
        <f t="shared" si="76"/>
        <v>0</v>
      </c>
      <c r="BI20" s="974">
        <v>10</v>
      </c>
      <c r="BK20" s="451">
        <v>8</v>
      </c>
      <c r="BL20" s="8">
        <f>$M20</f>
        <v>0</v>
      </c>
      <c r="BQ20" s="8">
        <f>$AB20</f>
        <v>1</v>
      </c>
      <c r="BV20" s="8">
        <f>$AQ20</f>
        <v>2</v>
      </c>
      <c r="BY20" s="8"/>
      <c r="BZ20" s="16">
        <v>9</v>
      </c>
      <c r="CA20" s="16">
        <f t="shared" ref="CA20:CA27" si="81">(AQ2)</f>
        <v>13</v>
      </c>
      <c r="CB20" s="13">
        <v>1</v>
      </c>
      <c r="CC20" s="45">
        <f t="shared" si="4"/>
        <v>17</v>
      </c>
      <c r="CD20" s="46" t="str">
        <f>IF(CC20="","",IF(CC19=CC20,"=",""))</f>
        <v>=</v>
      </c>
      <c r="CE20" s="37">
        <v>18</v>
      </c>
      <c r="CF20" s="123">
        <f t="shared" si="5"/>
        <v>18</v>
      </c>
      <c r="CG20" s="128"/>
      <c r="CH20" s="76" t="str">
        <f t="shared" si="32"/>
        <v>Max Niedermaier</v>
      </c>
      <c r="CI20" s="280">
        <f t="shared" si="6"/>
        <v>0</v>
      </c>
      <c r="CJ20" s="87" t="str">
        <f t="shared" si="7"/>
        <v/>
      </c>
      <c r="CK20" s="71" t="str">
        <f t="shared" si="8"/>
        <v/>
      </c>
      <c r="CL20" s="71" t="str">
        <f t="shared" si="9"/>
        <v/>
      </c>
      <c r="CM20" s="71" t="str">
        <f t="shared" si="10"/>
        <v/>
      </c>
      <c r="CN20" s="88" t="str">
        <f t="shared" si="11"/>
        <v/>
      </c>
      <c r="CO20" s="80">
        <f t="shared" si="33"/>
        <v>0</v>
      </c>
      <c r="CP20" s="51"/>
      <c r="CQ20" s="251"/>
      <c r="CR20" s="252">
        <f t="shared" si="12"/>
        <v>18</v>
      </c>
      <c r="CS20" s="259">
        <f>RANK(DP20,$DP$3:$DP$20)+COUNTIF(DP$3:DP20,DP20)-1</f>
        <v>18</v>
      </c>
      <c r="CT20" s="253">
        <f>AF10</f>
        <v>18</v>
      </c>
      <c r="CU20" s="425">
        <f>VLOOKUP(CW20,Draw!$B$3:$C$42,2,FALSE)</f>
        <v>18</v>
      </c>
      <c r="CV20" s="254">
        <f>VLOOKUP(CW20,Draw!$B$3:$C$42,2,FALSE)</f>
        <v>18</v>
      </c>
      <c r="CW20" s="255" t="str">
        <f>AH10</f>
        <v>Max Niedermaier</v>
      </c>
      <c r="CX20" s="38" t="str">
        <f>AL10</f>
        <v/>
      </c>
      <c r="CY20" s="38" t="str">
        <f>AM10</f>
        <v/>
      </c>
      <c r="CZ20" s="38" t="str">
        <f>AN10</f>
        <v/>
      </c>
      <c r="DA20" s="38" t="str">
        <f>AO10</f>
        <v/>
      </c>
      <c r="DB20" s="256" t="str">
        <f>AP10</f>
        <v/>
      </c>
      <c r="DC20" s="257">
        <f t="shared" si="16"/>
        <v>0</v>
      </c>
      <c r="DD20" s="61">
        <f t="shared" si="17"/>
        <v>0</v>
      </c>
      <c r="DE20" s="237">
        <f t="shared" si="34"/>
        <v>0</v>
      </c>
      <c r="DF20" s="233">
        <f t="shared" si="18"/>
        <v>0</v>
      </c>
      <c r="DG20" s="235">
        <f t="shared" si="35"/>
        <v>0</v>
      </c>
      <c r="DH20" s="233">
        <f t="shared" si="19"/>
        <v>0</v>
      </c>
      <c r="DI20" s="241">
        <f t="shared" si="36"/>
        <v>0</v>
      </c>
      <c r="DJ20" s="272">
        <f t="shared" si="20"/>
        <v>0</v>
      </c>
      <c r="DK20" s="603">
        <f t="shared" si="37"/>
        <v>0</v>
      </c>
      <c r="DL20" s="282">
        <f>IF(EZ20=0,0,EZ20/1000000)</f>
        <v>0</v>
      </c>
      <c r="DM20" s="645">
        <f t="shared" si="48"/>
        <v>4.2E-7</v>
      </c>
      <c r="DN20" s="286">
        <f t="shared" si="22"/>
        <v>0</v>
      </c>
      <c r="DO20" s="286">
        <f t="shared" si="23"/>
        <v>0</v>
      </c>
      <c r="DP20" s="649">
        <f t="shared" si="38"/>
        <v>4.2E-7</v>
      </c>
      <c r="DQ20" s="597"/>
      <c r="FA20" s="130">
        <f t="shared" si="24"/>
        <v>18</v>
      </c>
      <c r="FB20" s="8" t="str">
        <f t="shared" si="25"/>
        <v>Max Niedermaier</v>
      </c>
      <c r="FC20" s="129">
        <f t="shared" si="39"/>
        <v>0</v>
      </c>
      <c r="FD20" s="129">
        <f>SUMIF($AG$40:$AG$43,$CV20,$AQ$40:$AQ$43)</f>
        <v>0</v>
      </c>
      <c r="FE20" s="504">
        <v>0</v>
      </c>
      <c r="FF20" s="129">
        <f t="shared" si="40"/>
        <v>0</v>
      </c>
      <c r="FG20" s="483">
        <f t="shared" si="27"/>
        <v>4.2E-7</v>
      </c>
      <c r="FH20" s="483">
        <f t="shared" si="41"/>
        <v>4.2E-7</v>
      </c>
      <c r="FI20" s="13">
        <f t="shared" si="42"/>
        <v>4.2E-7</v>
      </c>
      <c r="FJ20" s="484">
        <f t="shared" si="28"/>
        <v>4.2E-7</v>
      </c>
      <c r="FK20" s="16">
        <f t="shared" si="29"/>
        <v>18</v>
      </c>
      <c r="FL20" s="710">
        <v>18</v>
      </c>
      <c r="FM20" s="710">
        <f t="shared" si="43"/>
        <v>0</v>
      </c>
      <c r="FN20" s="512"/>
      <c r="FO20" s="13" t="str">
        <f t="shared" si="44"/>
        <v>Max Niedermaier</v>
      </c>
      <c r="FP20" s="496">
        <f t="shared" si="47"/>
        <v>0</v>
      </c>
      <c r="FQ20" s="13">
        <f t="shared" si="30"/>
        <v>0</v>
      </c>
      <c r="FS20" s="219">
        <v>5</v>
      </c>
      <c r="FT20" s="8" t="s">
        <v>35</v>
      </c>
      <c r="GW20" s="1143">
        <v>3</v>
      </c>
      <c r="GX20" s="229" t="str">
        <f>IF($N$20="","",IF($IW$20=$GX$3,$IX$20,IF(AND($H$20=$GX$3,$L$20&lt;&gt;""),$L$20,IF(AND($H$20=$GX$3,$L$20=""),$M$20,""))))</f>
        <v/>
      </c>
      <c r="GY20" s="299">
        <v>72</v>
      </c>
      <c r="GZ20" s="300" t="str">
        <f t="shared" si="77"/>
        <v/>
      </c>
      <c r="HA20" s="93" t="str">
        <f t="shared" si="68"/>
        <v/>
      </c>
      <c r="HB20" s="300"/>
      <c r="HC20" s="93" t="str">
        <f t="shared" si="78"/>
        <v/>
      </c>
      <c r="HG20" s="1143">
        <v>3</v>
      </c>
      <c r="HH20" s="229" t="str">
        <f>IF($N$20="","",IF($IW$20=$HH$3,$IX$20,IF(AND($H$20=$HH$3,$L$20&lt;&gt;""),$L$20,IF(AND($H$20=$HH$3,$L$20=""),$M$20,""))))</f>
        <v/>
      </c>
      <c r="HI20" s="299">
        <v>72</v>
      </c>
      <c r="HJ20" s="300" t="str">
        <f t="shared" si="79"/>
        <v/>
      </c>
      <c r="HK20" s="93" t="str">
        <f t="shared" si="69"/>
        <v/>
      </c>
      <c r="HL20" s="300"/>
      <c r="HM20" s="93" t="str">
        <f t="shared" si="70"/>
        <v/>
      </c>
      <c r="HN20" s="1150">
        <v>2</v>
      </c>
      <c r="HO20" s="131" t="str">
        <f>IF($H19="",$D19,$H19)</f>
        <v>Gunter Bauer</v>
      </c>
      <c r="HP20" s="327"/>
      <c r="HQ20" s="327" t="str">
        <f>IF($L19="","",$L19)</f>
        <v/>
      </c>
      <c r="HR20" s="327">
        <v>0.01</v>
      </c>
      <c r="HS20" s="458">
        <f>IF($M19="","",SUM(HR20+$M19))</f>
        <v>2.0099999999999998</v>
      </c>
      <c r="HT20" s="327">
        <f>RANK(HS20,HS17:HS20)</f>
        <v>2</v>
      </c>
      <c r="HU20" s="327" t="str">
        <f>IF(HQ20="",HO20,HO20&amp;" ("&amp;HQ20&amp;")")</f>
        <v>Gunter Bauer</v>
      </c>
      <c r="HV20" s="328">
        <v>4</v>
      </c>
      <c r="HW20" s="337" t="str">
        <f>IF(N16="","",VLOOKUP(HV20,HT17:HU20,2,FALSE))</f>
        <v>Simon Reitsma</v>
      </c>
      <c r="HX20" s="1150">
        <v>10</v>
      </c>
      <c r="HY20" s="131" t="str">
        <f>IF($W19="",$S19,$W19)</f>
        <v>Dimitry Khomitsevich</v>
      </c>
      <c r="HZ20" s="327"/>
      <c r="IA20" s="327" t="str">
        <f>IF($AA19="","",$AA19)</f>
        <v/>
      </c>
      <c r="IB20" s="327">
        <v>0.01</v>
      </c>
      <c r="IC20" s="458">
        <f>IF($AB19="","",SUM(IB20+$AB19))</f>
        <v>2.0099999999999998</v>
      </c>
      <c r="ID20" s="327">
        <f>RANK(IC20,IC17:IC20)</f>
        <v>2</v>
      </c>
      <c r="IE20" s="327" t="str">
        <f>IF(IA20="",HY20,HY20&amp;" ("&amp;IA20&amp;")")</f>
        <v>Dimitry Khomitsevich</v>
      </c>
      <c r="IF20" s="344">
        <v>4</v>
      </c>
      <c r="IG20" s="337" t="str">
        <f>IF(AC16="","",VLOOKUP(IF20,ID17:IE20,2,FALSE))</f>
        <v>Antonin Klatovsky</v>
      </c>
      <c r="IH20" s="1150">
        <v>18</v>
      </c>
      <c r="II20" s="131" t="str">
        <f>IF($AL19="",$AH19,$AL19)</f>
        <v>Stefan Svensson</v>
      </c>
      <c r="IJ20" s="327"/>
      <c r="IK20" s="327" t="str">
        <f>IF($AP19="","",$AP19)</f>
        <v/>
      </c>
      <c r="IL20" s="327">
        <v>0.01</v>
      </c>
      <c r="IM20" s="327">
        <f>IF($AQ19="","",SUM(IL20+$AQ19))</f>
        <v>0.01</v>
      </c>
      <c r="IN20" s="327">
        <f>RANK(IM20,IM17:IM20)</f>
        <v>4</v>
      </c>
      <c r="IO20" s="327" t="str">
        <f>IF(IK20="",II20,II20&amp;" ("&amp;IK20&amp;")")</f>
        <v>Stefan Svensson</v>
      </c>
      <c r="IP20" s="344">
        <v>4</v>
      </c>
      <c r="IQ20" s="337" t="str">
        <f>IF(AR16="","",VLOOKUP(IP20,IN17:IO20,2,FALSE))</f>
        <v>Stefan Svensson</v>
      </c>
      <c r="IU20" s="1111">
        <v>3</v>
      </c>
      <c r="IV20" s="695"/>
      <c r="IW20" s="696" t="str">
        <f t="shared" si="71"/>
        <v/>
      </c>
      <c r="IX20" s="697"/>
      <c r="IZ20" s="1111">
        <v>11</v>
      </c>
      <c r="JA20" s="695"/>
      <c r="JB20" s="696" t="str">
        <f t="shared" si="72"/>
        <v/>
      </c>
      <c r="JC20" s="697"/>
      <c r="JE20" s="1111">
        <v>19</v>
      </c>
      <c r="JF20" s="695"/>
      <c r="JG20" s="696" t="str">
        <f t="shared" si="73"/>
        <v/>
      </c>
      <c r="JH20" s="697"/>
    </row>
    <row r="21" spans="1:268" ht="12.75" customHeight="1" thickBot="1">
      <c r="A21" s="1212"/>
      <c r="B21" s="39">
        <v>11</v>
      </c>
      <c r="C21" s="101">
        <f>AG$4</f>
        <v>15</v>
      </c>
      <c r="D21" s="517" t="str">
        <f>AH$4</f>
        <v>Harald Simon</v>
      </c>
      <c r="E21" s="1011"/>
      <c r="F21" s="525" t="str">
        <f t="shared" si="52"/>
        <v/>
      </c>
      <c r="G21" s="1019"/>
      <c r="H21" s="1198" t="str">
        <f t="shared" si="53"/>
        <v/>
      </c>
      <c r="I21" s="1198"/>
      <c r="J21" s="1198"/>
      <c r="K21" s="1198"/>
      <c r="L21" s="508"/>
      <c r="M21" s="146">
        <f>IF(N20="","",IF(N20="B",3,IF(N21="B",2,IF(N22="B",1,IF(N23="B",0,0)))))</f>
        <v>1</v>
      </c>
      <c r="N21" s="707" t="s">
        <v>222</v>
      </c>
      <c r="O21" s="268"/>
      <c r="P21" s="1212"/>
      <c r="Q21" s="39">
        <v>9</v>
      </c>
      <c r="R21" s="101">
        <f>AG$2</f>
        <v>1</v>
      </c>
      <c r="S21" s="517" t="str">
        <f>AH$2</f>
        <v>Daniil Ivanov</v>
      </c>
      <c r="T21" s="1011"/>
      <c r="U21" s="525" t="str">
        <f t="shared" si="80"/>
        <v/>
      </c>
      <c r="V21" s="1019"/>
      <c r="W21" s="1198" t="str">
        <f t="shared" si="54"/>
        <v/>
      </c>
      <c r="X21" s="1198"/>
      <c r="Y21" s="1198"/>
      <c r="Z21" s="1198"/>
      <c r="AA21" s="508"/>
      <c r="AB21" s="146">
        <f>IF(AC20="","",IF(AC20="B",3,IF(AC21="B",2,IF(AC22="B",1,IF(AC23="B",0,0)))))</f>
        <v>3</v>
      </c>
      <c r="AC21" s="724" t="s">
        <v>221</v>
      </c>
      <c r="AD21" s="269"/>
      <c r="AE21" s="1212"/>
      <c r="AF21" s="39">
        <v>12</v>
      </c>
      <c r="AG21" s="101">
        <f>AG$5</f>
        <v>11</v>
      </c>
      <c r="AH21" s="517" t="str">
        <f>AH$5</f>
        <v>Vitaly Khomitsevich</v>
      </c>
      <c r="AI21" s="1011"/>
      <c r="AJ21" s="525" t="str">
        <f t="shared" si="55"/>
        <v/>
      </c>
      <c r="AK21" s="1019"/>
      <c r="AL21" s="1198" t="str">
        <f t="shared" si="56"/>
        <v/>
      </c>
      <c r="AM21" s="1198"/>
      <c r="AN21" s="1198"/>
      <c r="AO21" s="1198"/>
      <c r="AP21" s="508"/>
      <c r="AQ21" s="146">
        <f>IF(AR20="","",IF(AR20="B",3,IF(AR21="B",2,IF(AR22="B",1,IF(AR23="B",0,0)))))</f>
        <v>3</v>
      </c>
      <c r="AR21" s="724" t="s">
        <v>12</v>
      </c>
      <c r="AS21" s="268"/>
      <c r="AT21" s="689">
        <f t="shared" si="57"/>
        <v>10</v>
      </c>
      <c r="AU21" s="65" t="str">
        <f t="shared" si="58"/>
        <v/>
      </c>
      <c r="AV21" s="94" t="str">
        <f t="shared" si="59"/>
        <v>Antonin Klatovsky</v>
      </c>
      <c r="AW21" s="3">
        <f t="shared" si="60"/>
        <v>1</v>
      </c>
      <c r="AX21" s="4">
        <f t="shared" si="61"/>
        <v>1</v>
      </c>
      <c r="AY21" s="4">
        <f t="shared" si="62"/>
        <v>0</v>
      </c>
      <c r="AZ21" s="4">
        <f t="shared" si="63"/>
        <v>0</v>
      </c>
      <c r="BA21" s="26">
        <f t="shared" si="64"/>
        <v>3</v>
      </c>
      <c r="BB21" s="189">
        <f t="shared" si="65"/>
        <v>5</v>
      </c>
      <c r="BD21" s="192">
        <f t="shared" si="66"/>
        <v>14</v>
      </c>
      <c r="BE21" s="131" t="str">
        <f t="shared" si="74"/>
        <v>Antonin Klatovsky</v>
      </c>
      <c r="BF21" s="95">
        <f t="shared" si="75"/>
        <v>5</v>
      </c>
      <c r="BG21"/>
      <c r="BH21" s="390">
        <f t="shared" si="76"/>
        <v>0</v>
      </c>
      <c r="BI21" s="974">
        <v>9</v>
      </c>
      <c r="BK21" s="451">
        <v>7</v>
      </c>
      <c r="BM21" s="8">
        <f>$M21</f>
        <v>1</v>
      </c>
      <c r="BR21" s="8">
        <f>$AB21</f>
        <v>3</v>
      </c>
      <c r="BW21" s="8">
        <f>$AQ21</f>
        <v>3</v>
      </c>
      <c r="BY21" s="8"/>
      <c r="BZ21" s="16">
        <v>10</v>
      </c>
      <c r="CA21" s="16">
        <f t="shared" si="81"/>
        <v>6</v>
      </c>
      <c r="CB21" s="13">
        <v>2</v>
      </c>
      <c r="CC21" s="1243" t="s">
        <v>19</v>
      </c>
      <c r="CD21" s="1244"/>
      <c r="CE21" s="1244"/>
      <c r="CF21" s="1244"/>
      <c r="CG21" s="1244"/>
      <c r="CH21" s="1244"/>
      <c r="CI21" s="1244"/>
      <c r="CJ21" s="1244"/>
      <c r="CK21" s="1244"/>
      <c r="CL21" s="1244"/>
      <c r="CM21" s="1244"/>
      <c r="CN21" s="1244"/>
      <c r="CO21" s="1244"/>
      <c r="CP21" s="1245"/>
      <c r="CS21" s="261" t="s">
        <v>27</v>
      </c>
      <c r="CT21" s="14"/>
      <c r="CU21" s="14"/>
      <c r="CV21" s="14"/>
      <c r="CW21" s="14"/>
      <c r="CX21" s="14"/>
      <c r="CY21" s="14"/>
      <c r="CZ21" s="14"/>
      <c r="DA21" s="14"/>
      <c r="DG21" s="13" t="s">
        <v>193</v>
      </c>
      <c r="DI21" s="13" t="s">
        <v>194</v>
      </c>
      <c r="DK21" s="16" t="s">
        <v>195</v>
      </c>
      <c r="DL21" s="16" t="s">
        <v>198</v>
      </c>
      <c r="DM21" s="426" t="s">
        <v>99</v>
      </c>
      <c r="DN21" s="180" t="s">
        <v>28</v>
      </c>
      <c r="FG21" s="187" t="s">
        <v>31</v>
      </c>
      <c r="FH21" s="187"/>
      <c r="FQ21" s="290"/>
      <c r="GW21" s="1144"/>
      <c r="GX21" s="230" t="str">
        <f>IF($N$20="","",IF($IW$21=$GX$3,$IX$21,IF(AND($H$21=$GX$3,$L$21&lt;&gt;""),$L$21,IF(AND($H$21=$GX$3,$L$21=""),$M$21,""))))</f>
        <v/>
      </c>
      <c r="GY21" s="301">
        <v>71</v>
      </c>
      <c r="GZ21" s="5" t="str">
        <f t="shared" si="77"/>
        <v/>
      </c>
      <c r="HA21" s="95" t="str">
        <f t="shared" si="68"/>
        <v/>
      </c>
      <c r="HB21" s="5"/>
      <c r="HC21" s="95" t="str">
        <f t="shared" si="78"/>
        <v/>
      </c>
      <c r="HG21" s="1144"/>
      <c r="HH21" s="230" t="str">
        <f>IF($N$20="","",IF($IW$21=$HH$3,$IX$21,IF(AND($H$21=$HH$3,$L$21&lt;&gt;""),$L$21,IF(AND($H$21=$HH$3,$L$21=""),$M$21,""))))</f>
        <v/>
      </c>
      <c r="HI21" s="301">
        <v>71</v>
      </c>
      <c r="HJ21" s="5" t="str">
        <f t="shared" si="79"/>
        <v/>
      </c>
      <c r="HK21" s="95" t="str">
        <f t="shared" si="69"/>
        <v/>
      </c>
      <c r="HL21" s="5"/>
      <c r="HM21" s="95" t="str">
        <f t="shared" si="70"/>
        <v/>
      </c>
      <c r="HN21" s="348" t="str">
        <f>IF($A19="","",$A19)</f>
        <v>58,84</v>
      </c>
      <c r="HO21" s="132" t="str">
        <f>IF($H16&lt;&gt;"",$D16,IF($H17&lt;&gt;"",$D17,IF($H18&lt;&gt;"",$D18,IF($H19&lt;&gt;"",$D19,""))))</f>
        <v>Rene Stellingwerf</v>
      </c>
      <c r="HP21" s="338" t="str">
        <f>IF(HO21="","",VLOOKUP($HO21,$CW$3:$DB$18,2,FALSE))</f>
        <v>N</v>
      </c>
      <c r="HQ21" s="338"/>
      <c r="HR21" s="338"/>
      <c r="HS21" s="338">
        <v>5</v>
      </c>
      <c r="HT21" s="338"/>
      <c r="HU21" s="132" t="str">
        <f>IF(HO21="","",HO21&amp;" ("&amp;HP21&amp;")")</f>
        <v>Rene Stellingwerf (N)</v>
      </c>
      <c r="HV21" s="349">
        <v>5</v>
      </c>
      <c r="HW21" s="339" t="str">
        <f>IF(HU21="","",HU21)</f>
        <v>Rene Stellingwerf (N)</v>
      </c>
      <c r="HX21" s="348" t="str">
        <f>IF($P19="","",$P19)</f>
        <v>59,13</v>
      </c>
      <c r="HY21" s="132" t="str">
        <f>IF($W16&lt;&gt;"",$S16,IF($W17&lt;&gt;"",$S17,IF($W18&lt;&gt;"",$S18,IF($W19&lt;&gt;"",$S19,""))))</f>
        <v/>
      </c>
      <c r="HZ21" s="338" t="str">
        <f>IF(HY21="","",VLOOKUP($HY21,$CW$3:$DB$18,4,FALSE))</f>
        <v/>
      </c>
      <c r="IA21" s="338"/>
      <c r="IB21" s="338"/>
      <c r="IC21" s="338">
        <v>5</v>
      </c>
      <c r="ID21" s="338"/>
      <c r="IE21" s="132" t="str">
        <f>IF(HY21="","",HY21&amp;" ("&amp;HZ21&amp;")")</f>
        <v/>
      </c>
      <c r="IF21" s="351">
        <v>5</v>
      </c>
      <c r="IG21" s="339" t="str">
        <f>IF(IE21="","",IE21)</f>
        <v/>
      </c>
      <c r="IH21" s="348" t="str">
        <f>IF($AE19="","",$AE19)</f>
        <v>62,56</v>
      </c>
      <c r="II21" s="132" t="str">
        <f>IF($AL16&lt;&gt;"",$AH16,IF($AL17&lt;&gt;"",$AH17,IF($AL18&lt;&gt;"",$AH18,IF($AL19&lt;&gt;"",$AH19,""))))</f>
        <v/>
      </c>
      <c r="IJ21" s="338" t="str">
        <f>IF(II21="","",VLOOKUP($II21,$CW$3:$DB$18,6,FALSE))</f>
        <v/>
      </c>
      <c r="IK21" s="338"/>
      <c r="IL21" s="338"/>
      <c r="IM21" s="338">
        <v>5</v>
      </c>
      <c r="IN21" s="338"/>
      <c r="IO21" s="132" t="str">
        <f>IF(II21="","",II21&amp;" ("&amp;IJ21&amp;")")</f>
        <v/>
      </c>
      <c r="IP21" s="351">
        <v>5</v>
      </c>
      <c r="IQ21" s="339" t="str">
        <f>IF(IO21="","",IO21)</f>
        <v/>
      </c>
      <c r="IU21" s="1112"/>
      <c r="IV21" s="698"/>
      <c r="IW21" s="699" t="str">
        <f t="shared" si="71"/>
        <v/>
      </c>
      <c r="IX21" s="700"/>
      <c r="IZ21" s="1112"/>
      <c r="JA21" s="698"/>
      <c r="JB21" s="699" t="str">
        <f t="shared" si="72"/>
        <v/>
      </c>
      <c r="JC21" s="700"/>
      <c r="JE21" s="1112"/>
      <c r="JF21" s="698"/>
      <c r="JG21" s="699" t="str">
        <f t="shared" si="73"/>
        <v/>
      </c>
      <c r="JH21" s="700"/>
    </row>
    <row r="22" spans="1:268" ht="12.75" customHeight="1" thickBot="1">
      <c r="A22" s="1212"/>
      <c r="B22" s="39">
        <v>9</v>
      </c>
      <c r="C22" s="102">
        <f>AG$2</f>
        <v>1</v>
      </c>
      <c r="D22" s="517" t="str">
        <f>AH$2</f>
        <v>Daniil Ivanov</v>
      </c>
      <c r="E22" s="1011"/>
      <c r="F22" s="525" t="str">
        <f t="shared" si="52"/>
        <v/>
      </c>
      <c r="G22" s="1020"/>
      <c r="H22" s="1198" t="str">
        <f t="shared" si="53"/>
        <v/>
      </c>
      <c r="I22" s="1198"/>
      <c r="J22" s="1198"/>
      <c r="K22" s="1198"/>
      <c r="L22" s="508"/>
      <c r="M22" s="146">
        <f>IF(N20="","",IF(N20="w",3,IF(N21="w",2,IF(N22="w",1,IF(N23="w",0,0)))))</f>
        <v>3</v>
      </c>
      <c r="N22" s="707" t="s">
        <v>46</v>
      </c>
      <c r="O22" s="268"/>
      <c r="P22" s="1212"/>
      <c r="Q22" s="39">
        <v>3</v>
      </c>
      <c r="R22" s="102">
        <f>R$4</f>
        <v>10</v>
      </c>
      <c r="S22" s="517" t="str">
        <f>S$4</f>
        <v>Franz Zorn</v>
      </c>
      <c r="T22" s="1011"/>
      <c r="U22" s="525" t="str">
        <f t="shared" si="80"/>
        <v/>
      </c>
      <c r="V22" s="1020"/>
      <c r="W22" s="1198" t="str">
        <f t="shared" si="54"/>
        <v/>
      </c>
      <c r="X22" s="1198"/>
      <c r="Y22" s="1198"/>
      <c r="Z22" s="1198"/>
      <c r="AA22" s="508"/>
      <c r="AB22" s="146">
        <f>IF(AC20="","",IF(AC20="w",3,IF(AC21="w",2,IF(AC22="w",1,IF(AC23="w",0,0)))))</f>
        <v>2</v>
      </c>
      <c r="AC22" s="724" t="s">
        <v>12</v>
      </c>
      <c r="AD22" s="269"/>
      <c r="AE22" s="1212"/>
      <c r="AF22" s="39">
        <v>13</v>
      </c>
      <c r="AG22" s="102">
        <f>AG$6</f>
        <v>19</v>
      </c>
      <c r="AH22" s="517" t="str">
        <f>AH$6</f>
        <v>Daniel Henderson</v>
      </c>
      <c r="AI22" s="1011"/>
      <c r="AJ22" s="525" t="str">
        <f t="shared" si="55"/>
        <v/>
      </c>
      <c r="AK22" s="1020"/>
      <c r="AL22" s="1198" t="str">
        <f t="shared" si="56"/>
        <v/>
      </c>
      <c r="AM22" s="1198"/>
      <c r="AN22" s="1198"/>
      <c r="AO22" s="1198"/>
      <c r="AP22" s="508"/>
      <c r="AQ22" s="146">
        <f>IF(AR20="","",IF(AR20="w",3,IF(AR21="w",2,IF(AR22="w",1,IF(AR23="w",0,0)))))</f>
        <v>1</v>
      </c>
      <c r="AR22" s="724" t="s">
        <v>221</v>
      </c>
      <c r="AS22" s="268"/>
      <c r="AT22" s="689">
        <f t="shared" si="57"/>
        <v>11</v>
      </c>
      <c r="AU22" s="65" t="str">
        <f t="shared" si="58"/>
        <v/>
      </c>
      <c r="AV22" s="94" t="str">
        <f t="shared" si="59"/>
        <v>Daniel Henderson</v>
      </c>
      <c r="AW22" s="3">
        <f t="shared" si="60"/>
        <v>1</v>
      </c>
      <c r="AX22" s="4">
        <f t="shared" si="61"/>
        <v>2</v>
      </c>
      <c r="AY22" s="4">
        <f t="shared" si="62"/>
        <v>1</v>
      </c>
      <c r="AZ22" s="4">
        <f t="shared" si="63"/>
        <v>0</v>
      </c>
      <c r="BA22" s="26">
        <f t="shared" si="64"/>
        <v>1</v>
      </c>
      <c r="BB22" s="189">
        <f t="shared" si="65"/>
        <v>5</v>
      </c>
      <c r="BD22" s="192">
        <f t="shared" si="66"/>
        <v>19</v>
      </c>
      <c r="BE22" s="131" t="str">
        <f t="shared" si="74"/>
        <v>Daniel Henderson</v>
      </c>
      <c r="BF22" s="95">
        <f t="shared" si="75"/>
        <v>5</v>
      </c>
      <c r="BG22"/>
      <c r="BH22" s="390">
        <f t="shared" si="76"/>
        <v>0</v>
      </c>
      <c r="BI22" s="974">
        <v>8</v>
      </c>
      <c r="BK22" s="451">
        <v>6</v>
      </c>
      <c r="BN22" s="8">
        <f>$M22</f>
        <v>3</v>
      </c>
      <c r="BS22" s="8">
        <f>$AB22</f>
        <v>2</v>
      </c>
      <c r="BX22" s="8">
        <f>$AQ22</f>
        <v>1</v>
      </c>
      <c r="BY22" s="8"/>
      <c r="BZ22" s="16">
        <v>11</v>
      </c>
      <c r="CA22" s="16">
        <f t="shared" si="81"/>
        <v>4</v>
      </c>
      <c r="CB22" s="13">
        <v>3</v>
      </c>
      <c r="CC22" s="1246" t="s">
        <v>101</v>
      </c>
      <c r="CD22" s="1247"/>
      <c r="CE22" s="1247"/>
      <c r="CF22" s="1247"/>
      <c r="CG22" s="1247"/>
      <c r="CH22" s="1247"/>
      <c r="CI22" s="1247"/>
      <c r="CJ22" s="1247"/>
      <c r="CK22" s="1247"/>
      <c r="CL22" s="1247"/>
      <c r="CM22" s="1247"/>
      <c r="CN22" s="1247"/>
      <c r="CO22" s="1247"/>
      <c r="CP22" s="1248"/>
      <c r="CS22" s="262" t="s">
        <v>29</v>
      </c>
      <c r="DM22" s="426" t="s">
        <v>100</v>
      </c>
      <c r="DN22" s="180" t="s">
        <v>30</v>
      </c>
      <c r="FL22" s="716"/>
      <c r="FM22" s="716"/>
      <c r="FN22"/>
      <c r="FQ22" s="290"/>
      <c r="FT22" s="209">
        <f ca="1">OFFSET($FS$2,MATCH($FS19,$FS$3:$FS$18,0),MATCH($FS20,$FT$2:$GI$2,0))</f>
        <v>11</v>
      </c>
      <c r="FX22"/>
      <c r="FY22"/>
      <c r="FZ22"/>
      <c r="GA22"/>
      <c r="GB22"/>
      <c r="GC22"/>
      <c r="GD22"/>
      <c r="GE22"/>
      <c r="GF22"/>
      <c r="GG22"/>
      <c r="GW22" s="1144"/>
      <c r="GX22" s="230" t="str">
        <f>IF($N$20="","",IF($IW$22=$GX$3,$IX$22,IF(AND($H$22=$GX$3,$L$22&lt;&gt;""),$L$22,IF(AND($H$22=$GX$3,$L$22=""),$M$22,""))))</f>
        <v/>
      </c>
      <c r="GY22" s="301">
        <v>70</v>
      </c>
      <c r="GZ22" s="5" t="str">
        <f t="shared" si="77"/>
        <v/>
      </c>
      <c r="HA22" s="95" t="str">
        <f t="shared" si="68"/>
        <v/>
      </c>
      <c r="HB22" s="5"/>
      <c r="HC22" s="95" t="str">
        <f t="shared" si="78"/>
        <v/>
      </c>
      <c r="HG22" s="1144"/>
      <c r="HH22" s="230" t="str">
        <f>IF($N$20="","",IF($IW$22=$HH$3,$IX$22,IF(AND($H$22=$HH$3,$L$22&lt;&gt;""),$L$22,IF(AND($H$22=$HH$3,$L$22=""),$M$22,""))))</f>
        <v/>
      </c>
      <c r="HI22" s="301">
        <v>70</v>
      </c>
      <c r="HJ22" s="5" t="str">
        <f t="shared" si="79"/>
        <v/>
      </c>
      <c r="HK22" s="95" t="str">
        <f t="shared" si="69"/>
        <v/>
      </c>
      <c r="HL22" s="5"/>
      <c r="HM22" s="95" t="str">
        <f t="shared" si="70"/>
        <v/>
      </c>
      <c r="HN22" s="1148">
        <v>3</v>
      </c>
      <c r="HO22" s="346" t="str">
        <f>IF($H20="",$D20,$H20)</f>
        <v>Hans Weber</v>
      </c>
      <c r="HP22" s="335"/>
      <c r="HQ22" s="335" t="str">
        <f>IF($L20="","",$L20)</f>
        <v/>
      </c>
      <c r="HR22" s="335">
        <v>0.04</v>
      </c>
      <c r="HS22" s="456">
        <f>IF($M20="","",SUM(HR22+$M20))</f>
        <v>0.04</v>
      </c>
      <c r="HT22" s="457">
        <f>RANK(HS22,HS22:HS25)</f>
        <v>4</v>
      </c>
      <c r="HU22" s="335" t="str">
        <f>IF(HQ22="",HO22,HO22&amp;" ("&amp;HQ22&amp;")")</f>
        <v>Hans Weber</v>
      </c>
      <c r="HV22" s="347">
        <v>1</v>
      </c>
      <c r="HW22" s="336" t="str">
        <f>IF(N20="","",VLOOKUP(HV22,HT22:HU25,2,FALSE))</f>
        <v>Daniil Ivanov</v>
      </c>
      <c r="HX22" s="1148">
        <v>11</v>
      </c>
      <c r="HY22" s="346" t="str">
        <f>IF($W20="",$S20,$W20)</f>
        <v>Gunter Bauer</v>
      </c>
      <c r="HZ22" s="335"/>
      <c r="IA22" s="335" t="str">
        <f>IF($AA20="","",$AA20)</f>
        <v/>
      </c>
      <c r="IB22" s="335">
        <v>0.04</v>
      </c>
      <c r="IC22" s="456">
        <f>IF($AB20="","",SUM(IB22+$AB20))</f>
        <v>1.04</v>
      </c>
      <c r="ID22" s="457">
        <f>RANK(IC22,IC22:IC25)</f>
        <v>3</v>
      </c>
      <c r="IE22" s="335" t="str">
        <f>IF(IA22="",HY22,HY22&amp;" ("&amp;IA22&amp;")")</f>
        <v>Gunter Bauer</v>
      </c>
      <c r="IF22" s="350">
        <v>1</v>
      </c>
      <c r="IG22" s="336" t="str">
        <f>IF(AC20="","",VLOOKUP(IF22,ID22:IE25,2,FALSE))</f>
        <v>Daniil Ivanov</v>
      </c>
      <c r="IH22" s="1148">
        <v>19</v>
      </c>
      <c r="II22" s="346" t="str">
        <f>IF($AL20="",$AH20,$AL20)</f>
        <v>Franz Zorn</v>
      </c>
      <c r="IJ22" s="335"/>
      <c r="IK22" s="335" t="str">
        <f>IF($AP20="","",$AP20)</f>
        <v/>
      </c>
      <c r="IL22" s="335">
        <v>0.04</v>
      </c>
      <c r="IM22" s="456">
        <f>IF($AQ20="","",SUM(IL22+$AQ20))</f>
        <v>2.04</v>
      </c>
      <c r="IN22" s="457">
        <f>RANK(IM22,IM22:IM25)</f>
        <v>2</v>
      </c>
      <c r="IO22" s="335" t="str">
        <f>IF(IK22="",II22,II22&amp;" ("&amp;IK22&amp;")")</f>
        <v>Franz Zorn</v>
      </c>
      <c r="IP22" s="350">
        <v>1</v>
      </c>
      <c r="IQ22" s="336" t="str">
        <f>IF(AR20="","",VLOOKUP(IP22,IN22:IO25,2,FALSE))</f>
        <v>Vitaly Khomitsevich</v>
      </c>
      <c r="IU22" s="1112"/>
      <c r="IV22" s="701"/>
      <c r="IW22" s="699" t="str">
        <f t="shared" si="71"/>
        <v/>
      </c>
      <c r="IX22" s="700"/>
      <c r="IZ22" s="1112"/>
      <c r="JA22" s="701"/>
      <c r="JB22" s="699" t="str">
        <f t="shared" si="72"/>
        <v/>
      </c>
      <c r="JC22" s="700"/>
      <c r="JE22" s="1112"/>
      <c r="JF22" s="701"/>
      <c r="JG22" s="699" t="str">
        <f t="shared" si="73"/>
        <v/>
      </c>
      <c r="JH22" s="700"/>
    </row>
    <row r="23" spans="1:268" ht="12.75" customHeight="1" thickBot="1">
      <c r="A23" s="918" t="s">
        <v>407</v>
      </c>
      <c r="B23" s="331">
        <v>12</v>
      </c>
      <c r="C23" s="103">
        <f>AG$5</f>
        <v>11</v>
      </c>
      <c r="D23" s="519" t="str">
        <f>AH$5</f>
        <v>Vitaly Khomitsevich</v>
      </c>
      <c r="E23" s="1013"/>
      <c r="F23" s="527" t="str">
        <f t="shared" si="52"/>
        <v/>
      </c>
      <c r="G23" s="1021"/>
      <c r="H23" s="1197" t="str">
        <f t="shared" si="53"/>
        <v/>
      </c>
      <c r="I23" s="1197"/>
      <c r="J23" s="1197"/>
      <c r="K23" s="1197"/>
      <c r="L23" s="511"/>
      <c r="M23" s="149">
        <f>IF(N20="","",IF(N20="y",3,IF(N21="y",2,IF(N22="y",1,IF(N23="y",0,0)))))</f>
        <v>2</v>
      </c>
      <c r="N23" s="708" t="s">
        <v>12</v>
      </c>
      <c r="O23" s="268"/>
      <c r="P23" s="918" t="s">
        <v>411</v>
      </c>
      <c r="Q23" s="331">
        <v>14</v>
      </c>
      <c r="R23" s="103">
        <f>AG$7</f>
        <v>8</v>
      </c>
      <c r="S23" s="519" t="str">
        <f>AH$7</f>
        <v>Stefan Pletschacher</v>
      </c>
      <c r="T23" s="1012"/>
      <c r="U23" s="526" t="str">
        <f t="shared" si="80"/>
        <v/>
      </c>
      <c r="V23" s="1021"/>
      <c r="W23" s="1197" t="str">
        <f t="shared" si="54"/>
        <v/>
      </c>
      <c r="X23" s="1197"/>
      <c r="Y23" s="1197"/>
      <c r="Z23" s="1197"/>
      <c r="AA23" s="511"/>
      <c r="AB23" s="149">
        <f>IF(AC20="","",IF(AC20="y",3,IF(AC21="y",2,IF(AC22="y",1,IF(AC23="y",0,0)))))</f>
        <v>0</v>
      </c>
      <c r="AC23" s="725" t="s">
        <v>222</v>
      </c>
      <c r="AD23" s="269"/>
      <c r="AE23" s="918" t="s">
        <v>419</v>
      </c>
      <c r="AF23" s="331">
        <v>6</v>
      </c>
      <c r="AG23" s="103">
        <f>R$7</f>
        <v>16</v>
      </c>
      <c r="AH23" s="519" t="str">
        <f>S$7</f>
        <v>Rene Stellingwerf</v>
      </c>
      <c r="AI23" s="1012" t="s">
        <v>313</v>
      </c>
      <c r="AJ23" s="526" t="str">
        <f t="shared" si="55"/>
        <v>N</v>
      </c>
      <c r="AK23" s="1021">
        <v>17</v>
      </c>
      <c r="AL23" s="1197" t="str">
        <f t="shared" si="56"/>
        <v>Simon Reitsma</v>
      </c>
      <c r="AM23" s="1197"/>
      <c r="AN23" s="1197"/>
      <c r="AO23" s="1197"/>
      <c r="AP23" s="511"/>
      <c r="AQ23" s="149">
        <f>IF(AR20="","",IF(AR20="y",3,IF(AR21="y",2,IF(AR22="y",1,IF(AR23="y",0,0)))))</f>
        <v>0</v>
      </c>
      <c r="AR23" s="725" t="s">
        <v>222</v>
      </c>
      <c r="AS23" s="268"/>
      <c r="AT23" s="689">
        <f t="shared" si="57"/>
        <v>12</v>
      </c>
      <c r="AU23" s="65" t="str">
        <f t="shared" si="58"/>
        <v>=</v>
      </c>
      <c r="AV23" s="94" t="str">
        <f t="shared" si="59"/>
        <v>Jan Klatovsky</v>
      </c>
      <c r="AW23" s="3">
        <f t="shared" si="60"/>
        <v>1</v>
      </c>
      <c r="AX23" s="4">
        <f t="shared" si="61"/>
        <v>0</v>
      </c>
      <c r="AY23" s="4">
        <f t="shared" si="62"/>
        <v>0</v>
      </c>
      <c r="AZ23" s="4">
        <f t="shared" si="63"/>
        <v>1</v>
      </c>
      <c r="BA23" s="26">
        <f t="shared" si="64"/>
        <v>2</v>
      </c>
      <c r="BB23" s="189">
        <f t="shared" si="65"/>
        <v>4</v>
      </c>
      <c r="BD23" s="192">
        <f t="shared" si="66"/>
        <v>6</v>
      </c>
      <c r="BE23" s="131" t="str">
        <f t="shared" si="74"/>
        <v>Jan Klatovsky</v>
      </c>
      <c r="BF23" s="95">
        <f t="shared" si="75"/>
        <v>4</v>
      </c>
      <c r="BG23"/>
      <c r="BH23" s="390">
        <f t="shared" si="76"/>
        <v>0</v>
      </c>
      <c r="BI23" s="974">
        <v>7</v>
      </c>
      <c r="BK23" s="451">
        <v>5</v>
      </c>
      <c r="BO23" s="8">
        <f>$M23</f>
        <v>2</v>
      </c>
      <c r="BT23" s="8">
        <f>$AB23</f>
        <v>0</v>
      </c>
      <c r="BY23" s="8">
        <f>$AQ23</f>
        <v>0</v>
      </c>
      <c r="BZ23" s="16">
        <v>12</v>
      </c>
      <c r="CA23" s="16">
        <f t="shared" si="81"/>
        <v>11</v>
      </c>
      <c r="CB23" s="13">
        <v>4</v>
      </c>
      <c r="FL23" s="716"/>
      <c r="FM23" s="716"/>
      <c r="FN23"/>
      <c r="FQ23" s="290"/>
      <c r="FS23" s="1030" t="s">
        <v>196</v>
      </c>
      <c r="FT23" s="1031"/>
      <c r="FU23" s="1031"/>
      <c r="FV23" s="1031"/>
      <c r="FW23" s="1031"/>
      <c r="FX23" s="1190"/>
      <c r="FY23" s="1190"/>
      <c r="FZ23" s="1190"/>
      <c r="GA23" s="1190"/>
      <c r="GB23" s="1190"/>
      <c r="GC23" s="1190"/>
      <c r="GD23" s="1190"/>
      <c r="GE23" s="1190"/>
      <c r="GF23" s="1190"/>
      <c r="GG23" s="1190"/>
      <c r="GH23" s="1190"/>
      <c r="GI23" s="1191"/>
      <c r="GW23" s="1145"/>
      <c r="GX23" s="231" t="str">
        <f>IF($N$20="","",IF($IW$23=$GX$3,$IX$23,IF(AND($H$23=$GX$3,$L$23&lt;&gt;""),$L$23,IF(AND($H$23=$GX$3,$L$23=""),$M$23,""))))</f>
        <v/>
      </c>
      <c r="GY23" s="302">
        <v>69</v>
      </c>
      <c r="GZ23" s="303" t="str">
        <f t="shared" si="77"/>
        <v/>
      </c>
      <c r="HA23" s="98" t="str">
        <f t="shared" si="68"/>
        <v/>
      </c>
      <c r="HB23" s="303"/>
      <c r="HC23" s="98" t="str">
        <f t="shared" si="78"/>
        <v/>
      </c>
      <c r="HG23" s="1145"/>
      <c r="HH23" s="231" t="str">
        <f>IF($N$20="","",IF($IW$23=$HH$3,$IX$23,IF(AND($H$23=$HH$3,$L$23&lt;&gt;""),$L$23,IF(AND($H$23=$HH$3,$L$23=""),$M$23,""))))</f>
        <v/>
      </c>
      <c r="HI23" s="302">
        <v>69</v>
      </c>
      <c r="HJ23" s="303" t="str">
        <f t="shared" si="79"/>
        <v/>
      </c>
      <c r="HK23" s="98" t="str">
        <f t="shared" si="69"/>
        <v/>
      </c>
      <c r="HL23" s="303"/>
      <c r="HM23" s="98" t="str">
        <f t="shared" si="70"/>
        <v/>
      </c>
      <c r="HN23" s="1149"/>
      <c r="HO23" s="131" t="str">
        <f>IF($H21="",$D21,$H21)</f>
        <v>Harald Simon</v>
      </c>
      <c r="HP23" s="327"/>
      <c r="HQ23" s="327" t="str">
        <f>IF($L21="","",$L21)</f>
        <v/>
      </c>
      <c r="HR23" s="327">
        <v>0.03</v>
      </c>
      <c r="HS23" s="458">
        <f>IF($M21="","",SUM(HR23+$M21))</f>
        <v>1.03</v>
      </c>
      <c r="HT23" s="327">
        <f>RANK(HS23,HS22:HS25)</f>
        <v>3</v>
      </c>
      <c r="HU23" s="327" t="str">
        <f>IF(HQ23="",HO23,HO23&amp;" ("&amp;HQ23&amp;")")</f>
        <v>Harald Simon</v>
      </c>
      <c r="HV23" s="328">
        <v>2</v>
      </c>
      <c r="HW23" s="337" t="str">
        <f>IF(N20="","",VLOOKUP(HV23,HT22:HU25,2,FALSE))</f>
        <v>Vitaly Khomitsevich</v>
      </c>
      <c r="HX23" s="1149"/>
      <c r="HY23" s="131" t="str">
        <f>IF($W21="",$S21,$W21)</f>
        <v>Daniil Ivanov</v>
      </c>
      <c r="HZ23" s="327"/>
      <c r="IA23" s="327" t="str">
        <f>IF($AA21="","",$AA21)</f>
        <v/>
      </c>
      <c r="IB23" s="327">
        <v>0.03</v>
      </c>
      <c r="IC23" s="458">
        <f>IF($AB21="","",SUM(IB23+$AB21))</f>
        <v>3.03</v>
      </c>
      <c r="ID23" s="327">
        <f>RANK(IC23,IC22:IC25)</f>
        <v>1</v>
      </c>
      <c r="IE23" s="327" t="str">
        <f>IF(IA23="",HY23,HY23&amp;" ("&amp;IA23&amp;")")</f>
        <v>Daniil Ivanov</v>
      </c>
      <c r="IF23" s="344">
        <v>2</v>
      </c>
      <c r="IG23" s="337" t="str">
        <f>IF(AC20="","",VLOOKUP(IF23,ID22:IE25,2,FALSE))</f>
        <v>Franz Zorn</v>
      </c>
      <c r="IH23" s="1149"/>
      <c r="II23" s="131" t="str">
        <f>IF($AL21="",$AH21,$AL21)</f>
        <v>Vitaly Khomitsevich</v>
      </c>
      <c r="IJ23" s="327"/>
      <c r="IK23" s="327" t="str">
        <f>IF($AP21="","",$AP21)</f>
        <v/>
      </c>
      <c r="IL23" s="327">
        <v>0.03</v>
      </c>
      <c r="IM23" s="458">
        <f>IF($AQ21="","",SUM(IL23+$AQ21))</f>
        <v>3.03</v>
      </c>
      <c r="IN23" s="327">
        <f>RANK(IM23,IM22:IM25)</f>
        <v>1</v>
      </c>
      <c r="IO23" s="327" t="str">
        <f>IF(IK23="",II23,II23&amp;" ("&amp;IK23&amp;")")</f>
        <v>Vitaly Khomitsevich</v>
      </c>
      <c r="IP23" s="344">
        <v>2</v>
      </c>
      <c r="IQ23" s="337" t="str">
        <f>IF(AR20="","",VLOOKUP(IP23,IN22:IO25,2,FALSE))</f>
        <v>Franz Zorn</v>
      </c>
      <c r="IU23" s="1113"/>
      <c r="IV23" s="702"/>
      <c r="IW23" s="703" t="str">
        <f t="shared" si="71"/>
        <v/>
      </c>
      <c r="IX23" s="704"/>
      <c r="IZ23" s="1113"/>
      <c r="JA23" s="702"/>
      <c r="JB23" s="703" t="str">
        <f t="shared" si="72"/>
        <v/>
      </c>
      <c r="JC23" s="704"/>
      <c r="JE23" s="1113"/>
      <c r="JF23" s="702"/>
      <c r="JG23" s="703" t="str">
        <f t="shared" si="73"/>
        <v/>
      </c>
      <c r="JH23" s="704"/>
    </row>
    <row r="24" spans="1:268" ht="12.75" customHeight="1" thickBot="1">
      <c r="A24" s="1211">
        <v>4</v>
      </c>
      <c r="B24" s="332">
        <v>15</v>
      </c>
      <c r="C24" s="100">
        <f>AG$8</f>
        <v>2</v>
      </c>
      <c r="D24" s="517" t="str">
        <f>AH$8</f>
        <v>Dimitry Koltakov</v>
      </c>
      <c r="E24" s="1011"/>
      <c r="F24" s="525" t="str">
        <f t="shared" si="52"/>
        <v/>
      </c>
      <c r="G24" s="1018"/>
      <c r="H24" s="1210" t="str">
        <f t="shared" si="53"/>
        <v/>
      </c>
      <c r="I24" s="1210"/>
      <c r="J24" s="1210"/>
      <c r="K24" s="1210"/>
      <c r="L24" s="507"/>
      <c r="M24" s="93">
        <f>IF(N24="","",IF(N24="R",3,IF(N25="R",2,IF(N26="R",1,IF(N27="R",0,0)))))</f>
        <v>3</v>
      </c>
      <c r="N24" s="706" t="s">
        <v>12</v>
      </c>
      <c r="O24" s="268"/>
      <c r="P24" s="1211">
        <v>12</v>
      </c>
      <c r="Q24" s="332">
        <v>13</v>
      </c>
      <c r="R24" s="100">
        <f>AG$6</f>
        <v>19</v>
      </c>
      <c r="S24" s="517" t="str">
        <f>AH$6</f>
        <v>Daniel Henderson</v>
      </c>
      <c r="T24" s="1010"/>
      <c r="U24" s="524" t="str">
        <f t="shared" si="80"/>
        <v/>
      </c>
      <c r="V24" s="1018"/>
      <c r="W24" s="1210" t="str">
        <f t="shared" si="54"/>
        <v/>
      </c>
      <c r="X24" s="1210"/>
      <c r="Y24" s="1210"/>
      <c r="Z24" s="1210"/>
      <c r="AA24" s="507"/>
      <c r="AB24" s="93">
        <f>IF(AC24="","",IF(AC24="R",3,IF(AC25="R",2,IF(AC26="R",1,IF(AC27="R",0,0)))))</f>
        <v>1</v>
      </c>
      <c r="AC24" s="723" t="s">
        <v>222</v>
      </c>
      <c r="AD24" s="269"/>
      <c r="AE24" s="1211">
        <v>20</v>
      </c>
      <c r="AF24" s="329">
        <v>5</v>
      </c>
      <c r="AG24" s="106">
        <f>R$6</f>
        <v>14</v>
      </c>
      <c r="AH24" s="516" t="str">
        <f>S$6</f>
        <v>Antonin Klatovsky</v>
      </c>
      <c r="AI24" s="1010"/>
      <c r="AJ24" s="524" t="str">
        <f t="shared" si="55"/>
        <v/>
      </c>
      <c r="AK24" s="1018"/>
      <c r="AL24" s="1210" t="str">
        <f t="shared" si="56"/>
        <v/>
      </c>
      <c r="AM24" s="1210"/>
      <c r="AN24" s="1210"/>
      <c r="AO24" s="1210"/>
      <c r="AP24" s="510"/>
      <c r="AQ24" s="93">
        <f>IF(AR24="","",IF(AR24="R",3,IF(AR25="R",2,IF(AR26="R",1,IF(AR27="R",0,0)))))</f>
        <v>3</v>
      </c>
      <c r="AR24" s="723" t="s">
        <v>12</v>
      </c>
      <c r="AS24" s="268"/>
      <c r="AT24" s="689">
        <f t="shared" si="57"/>
        <v>12</v>
      </c>
      <c r="AU24" s="65" t="str">
        <f t="shared" si="58"/>
        <v>=</v>
      </c>
      <c r="AV24" s="94" t="str">
        <f t="shared" si="59"/>
        <v>Harald Simon</v>
      </c>
      <c r="AW24" s="3">
        <f t="shared" si="60"/>
        <v>1</v>
      </c>
      <c r="AX24" s="4">
        <f t="shared" si="61"/>
        <v>0</v>
      </c>
      <c r="AY24" s="4">
        <f t="shared" si="62"/>
        <v>2</v>
      </c>
      <c r="AZ24" s="4">
        <f t="shared" si="63"/>
        <v>1</v>
      </c>
      <c r="BA24" s="26">
        <f t="shared" si="64"/>
        <v>0</v>
      </c>
      <c r="BB24" s="189">
        <f t="shared" si="65"/>
        <v>4</v>
      </c>
      <c r="BD24" s="192">
        <f t="shared" si="66"/>
        <v>15</v>
      </c>
      <c r="BE24" s="131" t="str">
        <f t="shared" si="74"/>
        <v>Harald Simon</v>
      </c>
      <c r="BF24" s="95">
        <f t="shared" si="75"/>
        <v>4</v>
      </c>
      <c r="BG24"/>
      <c r="BH24" s="390">
        <f t="shared" si="76"/>
        <v>0</v>
      </c>
      <c r="BI24" s="974">
        <v>6</v>
      </c>
      <c r="BK24" s="451">
        <v>4</v>
      </c>
      <c r="BL24" s="8">
        <f>$M24</f>
        <v>3</v>
      </c>
      <c r="BQ24" s="8">
        <f>$AB24</f>
        <v>1</v>
      </c>
      <c r="BV24" s="8">
        <f>$AQ24</f>
        <v>3</v>
      </c>
      <c r="BY24" s="8"/>
      <c r="BZ24" s="16">
        <v>13</v>
      </c>
      <c r="CA24" s="16">
        <f t="shared" si="81"/>
        <v>5</v>
      </c>
      <c r="CB24" s="13">
        <v>1</v>
      </c>
      <c r="DR24" s="1227" t="s">
        <v>199</v>
      </c>
      <c r="DS24" s="1227"/>
      <c r="DT24" s="1227"/>
      <c r="DU24" s="1227"/>
      <c r="DV24" s="1227"/>
      <c r="DW24" s="1227"/>
      <c r="DX24" s="1227"/>
      <c r="DY24" s="1227"/>
      <c r="DZ24" s="1227"/>
      <c r="EA24" s="1227"/>
      <c r="EB24" s="1227"/>
      <c r="EC24" s="1227"/>
      <c r="ED24" s="1227"/>
      <c r="EE24" s="1227"/>
      <c r="EF24" s="1227"/>
      <c r="EG24" s="1227"/>
      <c r="EH24" s="1227"/>
      <c r="EI24" s="1227"/>
      <c r="EJ24" s="1227"/>
      <c r="EK24" s="1227"/>
      <c r="EL24" s="1227"/>
      <c r="EM24" s="1227"/>
      <c r="EN24" s="1227"/>
      <c r="EO24" s="1227"/>
      <c r="EP24" s="1227"/>
      <c r="EQ24" s="1227"/>
      <c r="ER24" s="1227"/>
      <c r="ES24" s="1227"/>
      <c r="ET24" s="1227"/>
      <c r="EU24" s="1227"/>
      <c r="EV24" s="1227"/>
      <c r="EW24" s="1227"/>
      <c r="EX24" s="1227"/>
      <c r="EY24" s="1227"/>
      <c r="FG24"/>
      <c r="FH24"/>
      <c r="FI24"/>
      <c r="FL24" s="716"/>
      <c r="FM24" s="716"/>
      <c r="FN24"/>
      <c r="FO24"/>
      <c r="FP24"/>
      <c r="FQ24"/>
      <c r="FR24"/>
      <c r="GK24" s="1227" t="s">
        <v>210</v>
      </c>
      <c r="GL24" s="1227"/>
      <c r="GM24" s="1227"/>
      <c r="GN24" s="1227"/>
      <c r="GO24" s="1227"/>
      <c r="GP24" s="1227"/>
      <c r="GW24" s="1143">
        <v>4</v>
      </c>
      <c r="GX24" s="229" t="str">
        <f>IF($N$24="","",IF($IW$24=$GX$3,$IX$24,IF(AND($H$24=$GX$3,$L$24&lt;&gt;""),$L$24,IF(AND($H$24=$GX$3,$L$24=""),$M$24,""))))</f>
        <v/>
      </c>
      <c r="GY24" s="299">
        <v>68</v>
      </c>
      <c r="GZ24" s="300" t="str">
        <f t="shared" si="77"/>
        <v/>
      </c>
      <c r="HA24" s="93" t="str">
        <f t="shared" si="68"/>
        <v/>
      </c>
      <c r="HB24" s="300"/>
      <c r="HC24" s="93" t="str">
        <f t="shared" si="78"/>
        <v/>
      </c>
      <c r="HG24" s="1143">
        <v>4</v>
      </c>
      <c r="HH24" s="229" t="str">
        <f>IF($N$24="","",IF($IW$24=$HH$3,$IX$24,IF(AND($H$24=$HH$3,$L$24&lt;&gt;""),$L$24,IF(AND($H$24=$HH$3,$L$24=""),$M$24,""))))</f>
        <v/>
      </c>
      <c r="HI24" s="299">
        <v>68</v>
      </c>
      <c r="HJ24" s="300" t="str">
        <f t="shared" si="79"/>
        <v/>
      </c>
      <c r="HK24" s="93" t="str">
        <f t="shared" si="69"/>
        <v/>
      </c>
      <c r="HL24" s="300"/>
      <c r="HM24" s="93" t="str">
        <f t="shared" si="70"/>
        <v/>
      </c>
      <c r="HN24" s="1149"/>
      <c r="HO24" s="131" t="str">
        <f>IF($H22="",$D22,$H22)</f>
        <v>Daniil Ivanov</v>
      </c>
      <c r="HP24" s="327"/>
      <c r="HQ24" s="327" t="str">
        <f>IF($L22="","",$L22)</f>
        <v/>
      </c>
      <c r="HR24" s="327">
        <v>0.02</v>
      </c>
      <c r="HS24" s="458">
        <f>IF($M22="","",SUM(HR24+$M22))</f>
        <v>3.02</v>
      </c>
      <c r="HT24" s="327">
        <f>RANK(HS24,HS22:HS25)</f>
        <v>1</v>
      </c>
      <c r="HU24" s="327" t="str">
        <f>IF(HQ24="",HO24,HO24&amp;" ("&amp;HQ24&amp;")")</f>
        <v>Daniil Ivanov</v>
      </c>
      <c r="HV24" s="328">
        <v>3</v>
      </c>
      <c r="HW24" s="337" t="str">
        <f>IF(N20="","",VLOOKUP(HV24,HT22:HU25,2,FALSE))</f>
        <v>Harald Simon</v>
      </c>
      <c r="HX24" s="1149"/>
      <c r="HY24" s="131" t="str">
        <f>IF($W22="",$S22,$W22)</f>
        <v>Franz Zorn</v>
      </c>
      <c r="HZ24" s="327"/>
      <c r="IA24" s="327" t="str">
        <f>IF($AA22="","",$AA22)</f>
        <v/>
      </c>
      <c r="IB24" s="327">
        <v>0.02</v>
      </c>
      <c r="IC24" s="458">
        <f>IF($AB22="","",SUM(IB24+$AB22))</f>
        <v>2.02</v>
      </c>
      <c r="ID24" s="327">
        <f>RANK(IC24,IC22:IC25)</f>
        <v>2</v>
      </c>
      <c r="IE24" s="327" t="str">
        <f>IF(IA24="",HY24,HY24&amp;" ("&amp;IA24&amp;")")</f>
        <v>Franz Zorn</v>
      </c>
      <c r="IF24" s="344">
        <v>3</v>
      </c>
      <c r="IG24" s="337" t="str">
        <f>IF(AC20="","",VLOOKUP(IF24,ID22:IE25,2,FALSE))</f>
        <v>Gunter Bauer</v>
      </c>
      <c r="IH24" s="1149"/>
      <c r="II24" s="131" t="str">
        <f>IF($AL22="",$AH22,$AL22)</f>
        <v>Daniel Henderson</v>
      </c>
      <c r="IJ24" s="327"/>
      <c r="IK24" s="327" t="str">
        <f>IF($AP22="","",$AP22)</f>
        <v/>
      </c>
      <c r="IL24" s="327">
        <v>0.02</v>
      </c>
      <c r="IM24" s="327">
        <f>IF($AQ22="","",SUM(IL24+$AQ22))</f>
        <v>1.02</v>
      </c>
      <c r="IN24" s="327">
        <f>RANK(IM24,IM22:IM25)</f>
        <v>3</v>
      </c>
      <c r="IO24" s="327" t="str">
        <f>IF(IK24="",II24,II24&amp;" ("&amp;IK24&amp;")")</f>
        <v>Daniel Henderson</v>
      </c>
      <c r="IP24" s="344">
        <v>3</v>
      </c>
      <c r="IQ24" s="337" t="str">
        <f>IF(AR20="","",VLOOKUP(IP24,IN22:IO25,2,FALSE))</f>
        <v>Daniel Henderson</v>
      </c>
      <c r="IU24" s="1111">
        <v>4</v>
      </c>
      <c r="IV24" s="695"/>
      <c r="IW24" s="696" t="str">
        <f t="shared" si="71"/>
        <v/>
      </c>
      <c r="IX24" s="697"/>
      <c r="IZ24" s="1111">
        <v>12</v>
      </c>
      <c r="JA24" s="695"/>
      <c r="JB24" s="696" t="str">
        <f t="shared" si="72"/>
        <v/>
      </c>
      <c r="JC24" s="697"/>
      <c r="JE24" s="1111">
        <v>20</v>
      </c>
      <c r="JF24" s="695"/>
      <c r="JG24" s="696" t="str">
        <f t="shared" si="73"/>
        <v/>
      </c>
      <c r="JH24" s="697"/>
    </row>
    <row r="25" spans="1:268" ht="12.75" customHeight="1" thickBot="1">
      <c r="A25" s="1212"/>
      <c r="B25" s="39">
        <v>14</v>
      </c>
      <c r="C25" s="101">
        <f>AG$7</f>
        <v>8</v>
      </c>
      <c r="D25" s="517" t="str">
        <f>AH$7</f>
        <v>Stefan Pletschacher</v>
      </c>
      <c r="E25" s="1011"/>
      <c r="F25" s="525" t="str">
        <f t="shared" si="52"/>
        <v/>
      </c>
      <c r="G25" s="1019"/>
      <c r="H25" s="1198" t="str">
        <f t="shared" si="53"/>
        <v/>
      </c>
      <c r="I25" s="1198"/>
      <c r="J25" s="1198"/>
      <c r="K25" s="1198"/>
      <c r="L25" s="508"/>
      <c r="M25" s="146">
        <f>IF(N24="","",IF(N24="B",3,IF(N25="B",2,IF(N26="B",1,IF(N27="B",0,0)))))</f>
        <v>0</v>
      </c>
      <c r="N25" s="707" t="s">
        <v>221</v>
      </c>
      <c r="O25" s="268"/>
      <c r="P25" s="1212"/>
      <c r="Q25" s="39">
        <v>4</v>
      </c>
      <c r="R25" s="101">
        <f>R$5</f>
        <v>6</v>
      </c>
      <c r="S25" s="517" t="str">
        <f>S$5</f>
        <v>Jan Klatovsky</v>
      </c>
      <c r="T25" s="1011"/>
      <c r="U25" s="525" t="str">
        <f t="shared" si="80"/>
        <v/>
      </c>
      <c r="V25" s="1019"/>
      <c r="W25" s="1198" t="str">
        <f t="shared" si="54"/>
        <v/>
      </c>
      <c r="X25" s="1198"/>
      <c r="Y25" s="1198"/>
      <c r="Z25" s="1198"/>
      <c r="AA25" s="508"/>
      <c r="AB25" s="146">
        <f>IF(AC24="","",IF(AC24="B",3,IF(AC25="B",2,IF(AC26="B",1,IF(AC27="B",0,0)))))</f>
        <v>0</v>
      </c>
      <c r="AC25" s="724" t="s">
        <v>221</v>
      </c>
      <c r="AD25" s="269"/>
      <c r="AE25" s="1212"/>
      <c r="AF25" s="39">
        <v>14</v>
      </c>
      <c r="AG25" s="101">
        <f>AG$7</f>
        <v>8</v>
      </c>
      <c r="AH25" s="517" t="str">
        <f>AH$7</f>
        <v>Stefan Pletschacher</v>
      </c>
      <c r="AI25" s="1011"/>
      <c r="AJ25" s="525" t="str">
        <f t="shared" si="55"/>
        <v/>
      </c>
      <c r="AK25" s="1019"/>
      <c r="AL25" s="1198" t="str">
        <f t="shared" si="56"/>
        <v/>
      </c>
      <c r="AM25" s="1198"/>
      <c r="AN25" s="1198"/>
      <c r="AO25" s="1198"/>
      <c r="AP25" s="508"/>
      <c r="AQ25" s="146">
        <f>IF(AR24="","",IF(AR24="B",3,IF(AR25="B",2,IF(AR26="B",1,IF(AR27="B",0,0)))))</f>
        <v>1</v>
      </c>
      <c r="AR25" s="724" t="s">
        <v>222</v>
      </c>
      <c r="AS25" s="268"/>
      <c r="AT25" s="689">
        <f t="shared" si="57"/>
        <v>14</v>
      </c>
      <c r="AU25" s="65" t="str">
        <f t="shared" si="58"/>
        <v>=</v>
      </c>
      <c r="AV25" s="94" t="str">
        <f t="shared" si="59"/>
        <v>Per-Anders Lindstrom</v>
      </c>
      <c r="AW25" s="3">
        <f t="shared" si="60"/>
        <v>0</v>
      </c>
      <c r="AX25" s="4">
        <f t="shared" si="61"/>
        <v>0</v>
      </c>
      <c r="AY25" s="4">
        <f t="shared" si="62"/>
        <v>1</v>
      </c>
      <c r="AZ25" s="4">
        <f t="shared" si="63"/>
        <v>1</v>
      </c>
      <c r="BA25" s="26">
        <f t="shared" si="64"/>
        <v>0</v>
      </c>
      <c r="BB25" s="189">
        <f t="shared" si="65"/>
        <v>2</v>
      </c>
      <c r="BD25" s="192">
        <f t="shared" si="66"/>
        <v>9</v>
      </c>
      <c r="BE25" s="131" t="str">
        <f t="shared" si="74"/>
        <v>Per-Anders Lindstrom</v>
      </c>
      <c r="BF25" s="95">
        <f t="shared" si="75"/>
        <v>2</v>
      </c>
      <c r="BG25"/>
      <c r="BH25" s="390">
        <f t="shared" si="76"/>
        <v>0</v>
      </c>
      <c r="BI25" s="974">
        <v>5</v>
      </c>
      <c r="BK25" s="451">
        <v>3</v>
      </c>
      <c r="BM25" s="8">
        <f>$M25</f>
        <v>0</v>
      </c>
      <c r="BR25" s="8">
        <f>$AB25</f>
        <v>0</v>
      </c>
      <c r="BW25" s="8">
        <f>$AQ25</f>
        <v>1</v>
      </c>
      <c r="BY25" s="8"/>
      <c r="BZ25" s="16">
        <v>14</v>
      </c>
      <c r="CA25" s="16">
        <f t="shared" si="81"/>
        <v>2</v>
      </c>
      <c r="CB25" s="13">
        <v>2</v>
      </c>
      <c r="CG25" s="1194" t="s">
        <v>155</v>
      </c>
      <c r="CH25" s="1195"/>
      <c r="CI25" s="1195"/>
      <c r="CJ25" s="1229"/>
      <c r="DG25" s="16">
        <v>3</v>
      </c>
      <c r="DH25" s="16"/>
      <c r="DI25" s="16">
        <v>4</v>
      </c>
      <c r="DK25" s="16">
        <v>5</v>
      </c>
      <c r="DL25" s="16" t="s">
        <v>198</v>
      </c>
      <c r="DM25" s="16"/>
      <c r="DR25" s="1174" t="s">
        <v>36</v>
      </c>
      <c r="DS25" s="1174"/>
      <c r="DT25" s="1174"/>
      <c r="DU25" s="1174"/>
      <c r="DV25" s="1174"/>
      <c r="DW25" s="1174"/>
      <c r="DX25" s="1174"/>
      <c r="DY25" s="1174"/>
      <c r="DZ25" s="1174"/>
      <c r="EA25" s="1174"/>
      <c r="EB25" s="1174"/>
      <c r="EC25" s="1174"/>
      <c r="ED25" s="1174"/>
      <c r="EE25" s="1174"/>
      <c r="EF25" s="1174"/>
      <c r="EG25" s="1174"/>
      <c r="EH25" s="227"/>
      <c r="EI25" s="1176" t="s">
        <v>37</v>
      </c>
      <c r="EJ25" s="1177"/>
      <c r="EK25" s="1177"/>
      <c r="EL25" s="1177"/>
      <c r="EM25" s="1177"/>
      <c r="EN25" s="1177"/>
      <c r="EO25" s="1177"/>
      <c r="EP25" s="1177"/>
      <c r="EQ25" s="1177"/>
      <c r="ER25" s="1177"/>
      <c r="ES25" s="1177"/>
      <c r="ET25" s="1177"/>
      <c r="EU25" s="1177"/>
      <c r="EV25" s="1177"/>
      <c r="EW25" s="1177"/>
      <c r="EX25" s="1178"/>
      <c r="EY25" s="1168" t="s">
        <v>39</v>
      </c>
      <c r="FE25" s="16" t="s">
        <v>145</v>
      </c>
      <c r="FG25" s="290"/>
      <c r="FH25" s="316"/>
      <c r="FI25" s="316" t="s">
        <v>203</v>
      </c>
      <c r="FK25" s="1227" t="s">
        <v>208</v>
      </c>
      <c r="FL25" s="1227"/>
      <c r="FM25" s="316"/>
      <c r="FN25" s="290"/>
      <c r="FO25" s="290"/>
      <c r="FP25" s="290"/>
      <c r="FQ25" s="290"/>
      <c r="FR25"/>
      <c r="GB25"/>
      <c r="GC25"/>
      <c r="GK25" s="1228"/>
      <c r="GL25" s="1228"/>
      <c r="GM25" s="1228"/>
      <c r="GN25" s="1228"/>
      <c r="GO25" s="1228"/>
      <c r="GP25" s="1228"/>
      <c r="GW25" s="1144"/>
      <c r="GX25" s="230" t="str">
        <f>IF($N$24="","",IF($IW$25=$GX$3,$IX$25,IF(AND($H$25=$GX$3,$L$25&lt;&gt;""),$L$25,IF(AND($H$25=$GX$3,$L$25=""),$M$25,""))))</f>
        <v/>
      </c>
      <c r="GY25" s="301">
        <v>67</v>
      </c>
      <c r="GZ25" s="5" t="str">
        <f t="shared" si="77"/>
        <v/>
      </c>
      <c r="HA25" s="95" t="str">
        <f t="shared" si="68"/>
        <v/>
      </c>
      <c r="HB25" s="5"/>
      <c r="HC25" s="95" t="str">
        <f t="shared" si="78"/>
        <v/>
      </c>
      <c r="HG25" s="1144"/>
      <c r="HH25" s="230" t="str">
        <f>IF($N$24="","",IF($IW$25=$HH$3,$IX$25,IF(AND($H$25=$HH$3,$L$25&lt;&gt;""),$L$25,IF(AND($H$25=$HH$3,$L$25=""),$M$25,""))))</f>
        <v/>
      </c>
      <c r="HI25" s="301">
        <v>67</v>
      </c>
      <c r="HJ25" s="5" t="str">
        <f t="shared" si="79"/>
        <v/>
      </c>
      <c r="HK25" s="95" t="str">
        <f t="shared" si="69"/>
        <v/>
      </c>
      <c r="HL25" s="5"/>
      <c r="HM25" s="95" t="str">
        <f t="shared" si="70"/>
        <v/>
      </c>
      <c r="HN25" s="1150">
        <v>3</v>
      </c>
      <c r="HO25" s="131" t="str">
        <f>IF($H23="",$D23,$H23)</f>
        <v>Vitaly Khomitsevich</v>
      </c>
      <c r="HP25" s="327"/>
      <c r="HQ25" s="327" t="str">
        <f>IF($L23="","",$L23)</f>
        <v/>
      </c>
      <c r="HR25" s="327">
        <v>0.01</v>
      </c>
      <c r="HS25" s="458">
        <f>IF($M23="","",SUM(HR25+$M23))</f>
        <v>2.0099999999999998</v>
      </c>
      <c r="HT25" s="327">
        <f>RANK(HS25,HS22:HS25)</f>
        <v>2</v>
      </c>
      <c r="HU25" s="327" t="str">
        <f>IF(HQ25="",HO25,HO25&amp;" ("&amp;HQ25&amp;")")</f>
        <v>Vitaly Khomitsevich</v>
      </c>
      <c r="HV25" s="328">
        <v>4</v>
      </c>
      <c r="HW25" s="337" t="str">
        <f>IF(N20="","",VLOOKUP(HV25,HT22:HU25,2,FALSE))</f>
        <v>Hans Weber</v>
      </c>
      <c r="HX25" s="1150">
        <v>11</v>
      </c>
      <c r="HY25" s="131" t="str">
        <f>IF($W23="",$S23,$W23)</f>
        <v>Stefan Pletschacher</v>
      </c>
      <c r="HZ25" s="327"/>
      <c r="IA25" s="327" t="str">
        <f>IF($AA23="","",$AA23)</f>
        <v/>
      </c>
      <c r="IB25" s="327">
        <v>0.01</v>
      </c>
      <c r="IC25" s="458">
        <f>IF($AB23="","",SUM(IB25+$AB23))</f>
        <v>0.01</v>
      </c>
      <c r="ID25" s="327">
        <f>RANK(IC25,IC22:IC25)</f>
        <v>4</v>
      </c>
      <c r="IE25" s="327" t="str">
        <f>IF(IA25="",HY25,HY25&amp;" ("&amp;IA25&amp;")")</f>
        <v>Stefan Pletschacher</v>
      </c>
      <c r="IF25" s="344">
        <v>4</v>
      </c>
      <c r="IG25" s="337" t="str">
        <f>IF(AC20="","",VLOOKUP(IF25,ID22:IE25,2,FALSE))</f>
        <v>Stefan Pletschacher</v>
      </c>
      <c r="IH25" s="1150">
        <v>19</v>
      </c>
      <c r="II25" s="131" t="str">
        <f>IF($AL23="",$AH23,$AL23)</f>
        <v>Simon Reitsma</v>
      </c>
      <c r="IJ25" s="327"/>
      <c r="IK25" s="327" t="str">
        <f>IF($AP23="","",$AP23)</f>
        <v/>
      </c>
      <c r="IL25" s="327">
        <v>0.01</v>
      </c>
      <c r="IM25" s="327">
        <f>IF($AQ23="","",SUM(IL25+$AQ23))</f>
        <v>0.01</v>
      </c>
      <c r="IN25" s="327">
        <f>RANK(IM25,IM22:IM25)</f>
        <v>4</v>
      </c>
      <c r="IO25" s="327" t="str">
        <f>IF(IK25="",II25,II25&amp;" ("&amp;IK25&amp;")")</f>
        <v>Simon Reitsma</v>
      </c>
      <c r="IP25" s="344">
        <v>4</v>
      </c>
      <c r="IQ25" s="337" t="str">
        <f>IF(AR20="","",VLOOKUP(IP25,IN22:IO25,2,FALSE))</f>
        <v>Simon Reitsma</v>
      </c>
      <c r="IU25" s="1112"/>
      <c r="IV25" s="698"/>
      <c r="IW25" s="699" t="str">
        <f t="shared" si="71"/>
        <v/>
      </c>
      <c r="IX25" s="700"/>
      <c r="IZ25" s="1112"/>
      <c r="JA25" s="698"/>
      <c r="JB25" s="699" t="str">
        <f t="shared" si="72"/>
        <v/>
      </c>
      <c r="JC25" s="700"/>
      <c r="JE25" s="1112"/>
      <c r="JF25" s="698"/>
      <c r="JG25" s="699" t="str">
        <f t="shared" si="73"/>
        <v/>
      </c>
      <c r="JH25" s="700"/>
    </row>
    <row r="26" spans="1:268" ht="12.75" customHeight="1" thickBot="1">
      <c r="A26" s="1212"/>
      <c r="B26" s="39">
        <v>16</v>
      </c>
      <c r="C26" s="102">
        <f>AG$9</f>
        <v>5</v>
      </c>
      <c r="D26" s="517" t="str">
        <f>AH$9</f>
        <v>Stefan Svensson</v>
      </c>
      <c r="E26" s="1011"/>
      <c r="F26" s="525" t="str">
        <f t="shared" si="52"/>
        <v/>
      </c>
      <c r="G26" s="1020"/>
      <c r="H26" s="1198" t="str">
        <f t="shared" si="53"/>
        <v/>
      </c>
      <c r="I26" s="1198"/>
      <c r="J26" s="1198"/>
      <c r="K26" s="1198"/>
      <c r="L26" s="508"/>
      <c r="M26" s="146">
        <f>IF(N24="","",IF(N24="w",3,IF(N25="w",2,IF(N26="w",1,IF(N27="w",0,0)))))</f>
        <v>2</v>
      </c>
      <c r="N26" s="707" t="s">
        <v>222</v>
      </c>
      <c r="O26" s="268"/>
      <c r="P26" s="1212"/>
      <c r="Q26" s="39">
        <v>10</v>
      </c>
      <c r="R26" s="102">
        <f>AG$3</f>
        <v>12</v>
      </c>
      <c r="S26" s="517" t="str">
        <f>AH$3</f>
        <v>Hans Weber</v>
      </c>
      <c r="T26" s="1011"/>
      <c r="U26" s="525" t="str">
        <f t="shared" si="80"/>
        <v/>
      </c>
      <c r="V26" s="1020"/>
      <c r="W26" s="1198" t="str">
        <f t="shared" si="54"/>
        <v/>
      </c>
      <c r="X26" s="1198"/>
      <c r="Y26" s="1198"/>
      <c r="Z26" s="1198"/>
      <c r="AA26" s="508"/>
      <c r="AB26" s="146">
        <f>IF(AC24="","",IF(AC24="w",3,IF(AC25="w",2,IF(AC26="w",1,IF(AC27="w",0,0)))))</f>
        <v>2</v>
      </c>
      <c r="AC26" s="724" t="s">
        <v>12</v>
      </c>
      <c r="AD26" s="269"/>
      <c r="AE26" s="1212"/>
      <c r="AF26" s="39">
        <v>11</v>
      </c>
      <c r="AG26" s="102">
        <f>AG$4</f>
        <v>15</v>
      </c>
      <c r="AH26" s="517" t="str">
        <f>AH$4</f>
        <v>Harald Simon</v>
      </c>
      <c r="AI26" s="1011"/>
      <c r="AJ26" s="525" t="str">
        <f t="shared" si="55"/>
        <v/>
      </c>
      <c r="AK26" s="1020"/>
      <c r="AL26" s="1198" t="str">
        <f t="shared" si="56"/>
        <v/>
      </c>
      <c r="AM26" s="1198"/>
      <c r="AN26" s="1198"/>
      <c r="AO26" s="1198"/>
      <c r="AP26" s="508"/>
      <c r="AQ26" s="146">
        <f>IF(AR24="","",IF(AR24="w",3,IF(AR25="w",2,IF(AR26="w",1,IF(AR27="w",0,0)))))</f>
        <v>0</v>
      </c>
      <c r="AR26" s="724" t="s">
        <v>46</v>
      </c>
      <c r="AS26" s="268"/>
      <c r="AT26" s="689">
        <f t="shared" si="57"/>
        <v>14</v>
      </c>
      <c r="AU26" s="65" t="str">
        <f t="shared" si="58"/>
        <v>=</v>
      </c>
      <c r="AV26" s="94" t="str">
        <f t="shared" si="59"/>
        <v>Stefan Pletschacher</v>
      </c>
      <c r="AW26" s="3">
        <f t="shared" si="60"/>
        <v>0</v>
      </c>
      <c r="AX26" s="4">
        <f t="shared" si="61"/>
        <v>1</v>
      </c>
      <c r="AY26" s="4">
        <f t="shared" si="62"/>
        <v>0</v>
      </c>
      <c r="AZ26" s="4">
        <f t="shared" si="63"/>
        <v>0</v>
      </c>
      <c r="BA26" s="26">
        <f t="shared" si="64"/>
        <v>1</v>
      </c>
      <c r="BB26" s="189">
        <f t="shared" si="65"/>
        <v>2</v>
      </c>
      <c r="BD26" s="192">
        <f t="shared" si="66"/>
        <v>8</v>
      </c>
      <c r="BE26" s="131" t="str">
        <f t="shared" si="74"/>
        <v>Stefan Pletschacher</v>
      </c>
      <c r="BF26" s="95">
        <f t="shared" si="75"/>
        <v>2</v>
      </c>
      <c r="BG26"/>
      <c r="BH26" s="390">
        <f t="shared" si="76"/>
        <v>0</v>
      </c>
      <c r="BI26" s="974">
        <v>4</v>
      </c>
      <c r="BK26" s="451">
        <v>2</v>
      </c>
      <c r="BN26" s="8">
        <f>$M26</f>
        <v>2</v>
      </c>
      <c r="BS26" s="8">
        <f>$AB26</f>
        <v>2</v>
      </c>
      <c r="BX26" s="8">
        <f>$AQ26</f>
        <v>0</v>
      </c>
      <c r="BY26" s="8"/>
      <c r="BZ26" s="16">
        <v>15</v>
      </c>
      <c r="CA26" s="16">
        <f t="shared" si="81"/>
        <v>15</v>
      </c>
      <c r="CB26" s="13">
        <v>3</v>
      </c>
      <c r="CG26" s="1194" t="s">
        <v>154</v>
      </c>
      <c r="CH26" s="1195"/>
      <c r="CI26" s="1195"/>
      <c r="CJ26" s="1229"/>
      <c r="CU26" s="1194" t="s">
        <v>153</v>
      </c>
      <c r="CV26" s="1195"/>
      <c r="CW26" s="1195"/>
      <c r="CX26" s="712"/>
      <c r="CY26" s="712"/>
      <c r="CZ26" s="712"/>
      <c r="DA26" s="712"/>
      <c r="DB26" s="712"/>
      <c r="DC26" s="712"/>
      <c r="DD26" s="712"/>
      <c r="DE26" s="712"/>
      <c r="DF26" s="712"/>
      <c r="DG26" s="712"/>
      <c r="DH26" s="712"/>
      <c r="DI26" s="712"/>
      <c r="DJ26" s="712"/>
      <c r="DK26" s="712"/>
      <c r="DL26" s="712"/>
      <c r="DM26" s="712"/>
      <c r="DN26" s="712"/>
      <c r="DO26" s="712"/>
      <c r="DP26" s="713"/>
      <c r="DQ26" s="598"/>
      <c r="DR26" s="242">
        <f>$R$2</f>
        <v>9</v>
      </c>
      <c r="DS26" s="222">
        <f>$R$3</f>
        <v>3</v>
      </c>
      <c r="DT26" s="222">
        <f>$R$4</f>
        <v>10</v>
      </c>
      <c r="DU26" s="222">
        <f>$R$5</f>
        <v>6</v>
      </c>
      <c r="DV26" s="222">
        <f>$R$6</f>
        <v>14</v>
      </c>
      <c r="DW26" s="222">
        <f>$R$7</f>
        <v>16</v>
      </c>
      <c r="DX26" s="222">
        <f>$R$8</f>
        <v>4</v>
      </c>
      <c r="DY26" s="222">
        <f>$R$9</f>
        <v>7</v>
      </c>
      <c r="DZ26" s="222">
        <f>$AG$2</f>
        <v>1</v>
      </c>
      <c r="EA26" s="222">
        <f>$AG$3</f>
        <v>12</v>
      </c>
      <c r="EB26" s="222">
        <f>$AG$4</f>
        <v>15</v>
      </c>
      <c r="EC26" s="222">
        <f>$AG$5</f>
        <v>11</v>
      </c>
      <c r="ED26" s="222">
        <f>$AG$6</f>
        <v>19</v>
      </c>
      <c r="EE26" s="222">
        <f>$AG$7</f>
        <v>8</v>
      </c>
      <c r="EF26" s="222">
        <f>$AG$8</f>
        <v>2</v>
      </c>
      <c r="EG26" s="223">
        <f>$AG$9</f>
        <v>5</v>
      </c>
      <c r="EH26" s="228"/>
      <c r="EI26" s="221">
        <f>$R$2</f>
        <v>9</v>
      </c>
      <c r="EJ26" s="222">
        <f>$R$3</f>
        <v>3</v>
      </c>
      <c r="EK26" s="222">
        <f>$R$4</f>
        <v>10</v>
      </c>
      <c r="EL26" s="222">
        <f>$R$5</f>
        <v>6</v>
      </c>
      <c r="EM26" s="222">
        <f>$R$6</f>
        <v>14</v>
      </c>
      <c r="EN26" s="222">
        <f>$R$7</f>
        <v>16</v>
      </c>
      <c r="EO26" s="222">
        <f>$R$8</f>
        <v>4</v>
      </c>
      <c r="EP26" s="222">
        <f>$R$9</f>
        <v>7</v>
      </c>
      <c r="EQ26" s="222">
        <f>$AG$2</f>
        <v>1</v>
      </c>
      <c r="ER26" s="222">
        <f>$AG$3</f>
        <v>12</v>
      </c>
      <c r="ES26" s="222">
        <f>$AG$4</f>
        <v>15</v>
      </c>
      <c r="ET26" s="222">
        <f>$AG$5</f>
        <v>11</v>
      </c>
      <c r="EU26" s="222">
        <f>$AG$6</f>
        <v>19</v>
      </c>
      <c r="EV26" s="222">
        <f>$AG$7</f>
        <v>8</v>
      </c>
      <c r="EW26" s="222">
        <f>$AG$8</f>
        <v>2</v>
      </c>
      <c r="EX26" s="223">
        <f>$AG$9</f>
        <v>5</v>
      </c>
      <c r="EY26" s="1169"/>
      <c r="FA26" s="654"/>
      <c r="FB26" s="654"/>
      <c r="FC26" s="655" t="s">
        <v>200</v>
      </c>
      <c r="FD26" s="655" t="s">
        <v>201</v>
      </c>
      <c r="FE26" s="655" t="s">
        <v>202</v>
      </c>
      <c r="FF26" s="655" t="s">
        <v>204</v>
      </c>
      <c r="FG26" s="656" t="s">
        <v>206</v>
      </c>
      <c r="FH26" s="655" t="s">
        <v>20</v>
      </c>
      <c r="FI26" s="656" t="s">
        <v>205</v>
      </c>
      <c r="FJ26" s="16" t="s">
        <v>207</v>
      </c>
      <c r="FK26" s="16" t="s">
        <v>14</v>
      </c>
      <c r="FL26" s="710" t="s">
        <v>15</v>
      </c>
      <c r="FM26" s="710" t="s">
        <v>17</v>
      </c>
      <c r="FN26" s="16" t="s">
        <v>192</v>
      </c>
      <c r="FO26" s="290"/>
      <c r="FP26" s="316" t="s">
        <v>92</v>
      </c>
      <c r="FQ26" s="316" t="s">
        <v>93</v>
      </c>
      <c r="FR26" s="290" t="s">
        <v>209</v>
      </c>
      <c r="FS26" s="290"/>
      <c r="FT26"/>
      <c r="FX26" s="16" t="s">
        <v>21</v>
      </c>
      <c r="FY26" s="16" t="s">
        <v>20</v>
      </c>
      <c r="GA26"/>
      <c r="GB26"/>
      <c r="GC26"/>
      <c r="GK26" s="641"/>
      <c r="GL26" s="631">
        <f>$GK27</f>
        <v>2</v>
      </c>
      <c r="GM26" s="632">
        <f>$GK28</f>
        <v>4</v>
      </c>
      <c r="GN26" s="632">
        <f>$GK29</f>
        <v>10</v>
      </c>
      <c r="GO26" s="633">
        <f>$GK30</f>
        <v>7</v>
      </c>
      <c r="GP26" s="653"/>
      <c r="GW26" s="1144"/>
      <c r="GX26" s="230" t="str">
        <f>IF($N$24="","",IF($IW$26=$GX$3,$IX$26,IF(AND($H$26=$GX$3,$L$26&lt;&gt;""),$L$26,IF(AND($H$26=$GX$3,$L$26=""),$M$26,""))))</f>
        <v/>
      </c>
      <c r="GY26" s="301">
        <v>66</v>
      </c>
      <c r="GZ26" s="5" t="str">
        <f t="shared" si="77"/>
        <v/>
      </c>
      <c r="HA26" s="95" t="str">
        <f t="shared" si="68"/>
        <v/>
      </c>
      <c r="HB26" s="5"/>
      <c r="HC26" s="95" t="str">
        <f t="shared" si="78"/>
        <v/>
      </c>
      <c r="HG26" s="1144"/>
      <c r="HH26" s="230" t="str">
        <f>IF($N$24="","",IF($IW$26=$HH$3,$IX$26,IF(AND($H$26=$HH$3,$L$26&lt;&gt;""),$L$26,IF(AND($H$26=$HH$3,$L$26=""),$M$26,""))))</f>
        <v/>
      </c>
      <c r="HI26" s="301">
        <v>66</v>
      </c>
      <c r="HJ26" s="5" t="str">
        <f t="shared" si="79"/>
        <v/>
      </c>
      <c r="HK26" s="95" t="str">
        <f t="shared" si="69"/>
        <v/>
      </c>
      <c r="HL26" s="5"/>
      <c r="HM26" s="95" t="str">
        <f t="shared" si="70"/>
        <v/>
      </c>
      <c r="HN26" s="348" t="str">
        <f>IF($A23="","",$A23)</f>
        <v>59,25</v>
      </c>
      <c r="HO26" s="132" t="str">
        <f>IF($H20&lt;&gt;"",$D20,IF($H21&lt;&gt;"",$D21,IF($H22&lt;&gt;"",$D22,IF($H23&lt;&gt;"",$D23,""))))</f>
        <v/>
      </c>
      <c r="HP26" s="338" t="str">
        <f>IF(HO26="","",VLOOKUP($HO26,$CW$3:$DB$18,2,FALSE))</f>
        <v/>
      </c>
      <c r="HQ26" s="338"/>
      <c r="HR26" s="338"/>
      <c r="HS26" s="338">
        <v>5</v>
      </c>
      <c r="HT26" s="338"/>
      <c r="HU26" s="132" t="str">
        <f>IF(HO26="","",HO26&amp;" ("&amp;HP26&amp;")")</f>
        <v/>
      </c>
      <c r="HV26" s="349">
        <v>5</v>
      </c>
      <c r="HW26" s="339" t="str">
        <f>IF(HU26="","",HU26)</f>
        <v/>
      </c>
      <c r="HX26" s="348" t="str">
        <f>IF($P23="","",$P23)</f>
        <v>61,35</v>
      </c>
      <c r="HY26" s="132" t="str">
        <f>IF($W20&lt;&gt;"",$S20,IF($W21&lt;&gt;"",$S21,IF($W22&lt;&gt;"",$S22,IF($W23&lt;&gt;"",$S23,""))))</f>
        <v/>
      </c>
      <c r="HZ26" s="338" t="str">
        <f>IF(HY26="","",VLOOKUP($HY26,$CW$3:$DB$18,4,FALSE))</f>
        <v/>
      </c>
      <c r="IA26" s="338"/>
      <c r="IB26" s="338"/>
      <c r="IC26" s="338">
        <v>5</v>
      </c>
      <c r="ID26" s="338"/>
      <c r="IE26" s="132" t="str">
        <f>IF(HY26="","",HY26&amp;" ("&amp;HZ26&amp;")")</f>
        <v/>
      </c>
      <c r="IF26" s="351">
        <v>5</v>
      </c>
      <c r="IG26" s="339" t="str">
        <f>IF(IE26="","",IE26)</f>
        <v/>
      </c>
      <c r="IH26" s="348" t="str">
        <f>IF($AE23="","",$AE23)</f>
        <v>64,38</v>
      </c>
      <c r="II26" s="132" t="str">
        <f>IF($AL20&lt;&gt;"",$AH20,IF($AL21&lt;&gt;"",$AH21,IF($AL22&lt;&gt;"",$AH22,IF($AL23&lt;&gt;"",$AH23,""))))</f>
        <v>Rene Stellingwerf</v>
      </c>
      <c r="IJ26" s="338" t="str">
        <f>IF(II26="","",VLOOKUP($II26,$CW$3:$DB$18,6,FALSE))</f>
        <v>N</v>
      </c>
      <c r="IK26" s="338"/>
      <c r="IL26" s="338"/>
      <c r="IM26" s="338">
        <v>5</v>
      </c>
      <c r="IN26" s="338"/>
      <c r="IO26" s="132" t="str">
        <f>IF(II26="","",II26&amp;" ("&amp;IJ26&amp;")")</f>
        <v>Rene Stellingwerf (N)</v>
      </c>
      <c r="IP26" s="351">
        <v>5</v>
      </c>
      <c r="IQ26" s="339" t="str">
        <f>IF(IO26="","",IO26)</f>
        <v>Rene Stellingwerf (N)</v>
      </c>
      <c r="IU26" s="1112"/>
      <c r="IV26" s="701"/>
      <c r="IW26" s="699" t="str">
        <f t="shared" si="71"/>
        <v/>
      </c>
      <c r="IX26" s="700"/>
      <c r="IZ26" s="1112"/>
      <c r="JA26" s="701"/>
      <c r="JB26" s="699" t="str">
        <f t="shared" si="72"/>
        <v/>
      </c>
      <c r="JC26" s="700"/>
      <c r="JE26" s="1112"/>
      <c r="JF26" s="701"/>
      <c r="JG26" s="699" t="str">
        <f t="shared" si="73"/>
        <v/>
      </c>
      <c r="JH26" s="700"/>
    </row>
    <row r="27" spans="1:268" ht="12.75" customHeight="1" thickBot="1">
      <c r="A27" s="918" t="s">
        <v>408</v>
      </c>
      <c r="B27" s="331">
        <v>13</v>
      </c>
      <c r="C27" s="103">
        <f>AG$6</f>
        <v>19</v>
      </c>
      <c r="D27" s="519" t="str">
        <f>AH$6</f>
        <v>Daniel Henderson</v>
      </c>
      <c r="E27" s="1013"/>
      <c r="F27" s="527" t="str">
        <f t="shared" si="52"/>
        <v/>
      </c>
      <c r="G27" s="1021"/>
      <c r="H27" s="1197" t="str">
        <f t="shared" si="53"/>
        <v/>
      </c>
      <c r="I27" s="1197"/>
      <c r="J27" s="1197"/>
      <c r="K27" s="1197"/>
      <c r="L27" s="511"/>
      <c r="M27" s="149">
        <f>IF(N24="","",IF(N24="y",3,IF(N25="y",2,IF(N26="y",1,IF(N27="y",0,0)))))</f>
        <v>1</v>
      </c>
      <c r="N27" s="708" t="s">
        <v>46</v>
      </c>
      <c r="O27" s="268"/>
      <c r="P27" s="918" t="s">
        <v>412</v>
      </c>
      <c r="Q27" s="331">
        <v>7</v>
      </c>
      <c r="R27" s="103">
        <f>R$8</f>
        <v>4</v>
      </c>
      <c r="S27" s="519" t="str">
        <f>S$8</f>
        <v>Igor Kononov</v>
      </c>
      <c r="T27" s="1012"/>
      <c r="U27" s="526" t="str">
        <f t="shared" si="80"/>
        <v/>
      </c>
      <c r="V27" s="1021"/>
      <c r="W27" s="1197" t="str">
        <f t="shared" si="54"/>
        <v/>
      </c>
      <c r="X27" s="1197"/>
      <c r="Y27" s="1197"/>
      <c r="Z27" s="1197"/>
      <c r="AA27" s="511"/>
      <c r="AB27" s="149">
        <f>IF(AC24="","",IF(AC24="y",3,IF(AC25="y",2,IF(AC26="y",1,IF(AC27="y",0,0)))))</f>
        <v>3</v>
      </c>
      <c r="AC27" s="725" t="s">
        <v>46</v>
      </c>
      <c r="AD27" s="269"/>
      <c r="AE27" s="918" t="s">
        <v>420</v>
      </c>
      <c r="AF27" s="331">
        <v>4</v>
      </c>
      <c r="AG27" s="103">
        <f>R$5</f>
        <v>6</v>
      </c>
      <c r="AH27" s="519" t="str">
        <f>S$5</f>
        <v>Jan Klatovsky</v>
      </c>
      <c r="AI27" s="1013"/>
      <c r="AJ27" s="527" t="str">
        <f t="shared" si="55"/>
        <v/>
      </c>
      <c r="AK27" s="1022"/>
      <c r="AL27" s="1197" t="str">
        <f t="shared" si="56"/>
        <v/>
      </c>
      <c r="AM27" s="1197"/>
      <c r="AN27" s="1197"/>
      <c r="AO27" s="1197"/>
      <c r="AP27" s="511"/>
      <c r="AQ27" s="528">
        <f>IF(AR24="","",IF(AR24="y",3,IF(AR25="y",2,IF(AR26="y",1,IF(AR27="y",0,0)))))</f>
        <v>2</v>
      </c>
      <c r="AR27" s="725" t="s">
        <v>221</v>
      </c>
      <c r="AS27" s="268"/>
      <c r="AT27" s="689">
        <f t="shared" si="57"/>
        <v>16</v>
      </c>
      <c r="AU27" s="65" t="str">
        <f t="shared" si="58"/>
        <v/>
      </c>
      <c r="AV27" s="94" t="str">
        <f t="shared" si="59"/>
        <v>Simon Reitsma</v>
      </c>
      <c r="AW27" s="3">
        <f t="shared" si="60"/>
        <v>0</v>
      </c>
      <c r="AX27" s="4">
        <f t="shared" si="61"/>
        <v>0</v>
      </c>
      <c r="AY27" s="4">
        <f t="shared" si="62"/>
        <v>0</v>
      </c>
      <c r="AZ27" s="4">
        <f t="shared" si="63"/>
        <v>0</v>
      </c>
      <c r="BA27" s="26">
        <f t="shared" si="64"/>
        <v>0</v>
      </c>
      <c r="BB27" s="189">
        <f t="shared" si="65"/>
        <v>0</v>
      </c>
      <c r="BD27" s="192">
        <f t="shared" si="66"/>
        <v>17</v>
      </c>
      <c r="BE27" s="131" t="str">
        <f t="shared" si="74"/>
        <v>Simon Reitsma</v>
      </c>
      <c r="BF27" s="95">
        <f t="shared" si="75"/>
        <v>0</v>
      </c>
      <c r="BG27"/>
      <c r="BH27" s="390">
        <f t="shared" si="76"/>
        <v>0</v>
      </c>
      <c r="BI27" s="974">
        <v>3</v>
      </c>
      <c r="BK27" s="452">
        <v>1</v>
      </c>
      <c r="BO27" s="8">
        <f>$M27</f>
        <v>1</v>
      </c>
      <c r="BT27" s="8">
        <f>$AB27</f>
        <v>3</v>
      </c>
      <c r="BY27" s="8">
        <f>$AQ27</f>
        <v>2</v>
      </c>
      <c r="BZ27" s="16">
        <v>16</v>
      </c>
      <c r="CA27" s="16">
        <f t="shared" si="81"/>
        <v>8</v>
      </c>
      <c r="CB27" s="13">
        <v>4</v>
      </c>
      <c r="CG27" s="13">
        <v>1</v>
      </c>
      <c r="CH27" s="13" t="str">
        <f>VLOOKUP($CG27,$CU$27:$DC$44,3,FALSE)</f>
        <v>Dimitry Koltakov</v>
      </c>
      <c r="CI27" s="14">
        <f t="shared" ref="CI27:CI44" si="82">VLOOKUP($CG27,$CU$27:$DC$44,9,FALSE)</f>
        <v>12</v>
      </c>
      <c r="CU27" s="13">
        <f>RANK(DP27,DP$27:DP$44)</f>
        <v>13</v>
      </c>
      <c r="CV27" s="13">
        <f t="shared" ref="CV27:DA36" si="83">CV3</f>
        <v>9</v>
      </c>
      <c r="CW27" s="13" t="str">
        <f t="shared" si="83"/>
        <v>Per-Anders Lindstrom</v>
      </c>
      <c r="CX27" s="13">
        <f t="shared" si="83"/>
        <v>0</v>
      </c>
      <c r="CY27" s="13">
        <f t="shared" si="83"/>
        <v>0</v>
      </c>
      <c r="CZ27" s="13">
        <f t="shared" si="83"/>
        <v>1</v>
      </c>
      <c r="DA27" s="13">
        <f t="shared" si="83"/>
        <v>1</v>
      </c>
      <c r="DC27" s="13">
        <f>SUM(CX27:DB27)</f>
        <v>2</v>
      </c>
      <c r="DD27" s="243">
        <f t="shared" ref="DD27:DD44" si="84">COUNTIF(CX27:DB27,3)</f>
        <v>0</v>
      </c>
      <c r="DE27" s="236">
        <f>IF(DD27=0,0,DD27/100)</f>
        <v>0</v>
      </c>
      <c r="DF27" s="232">
        <f t="shared" ref="DF27:DF44" si="85">COUNTIF(CX27:DB27,2)</f>
        <v>0</v>
      </c>
      <c r="DG27" s="234">
        <f>IF(DF27=0,0,DF27/1000)</f>
        <v>0</v>
      </c>
      <c r="DH27" s="232">
        <f t="shared" ref="DH27:DH44" si="86">COUNTIF(CX27:DB27,1)</f>
        <v>2</v>
      </c>
      <c r="DI27" s="41">
        <f>IF(DH27=0,0,DH27/10000)</f>
        <v>2.0000000000000001E-4</v>
      </c>
      <c r="DJ27" s="271">
        <f t="shared" ref="DJ27:DJ44" si="87">COUNTIF(CX27:DB27,0)</f>
        <v>2</v>
      </c>
      <c r="DK27" s="273">
        <f t="shared" ref="DK27:DK44" si="88">IF(DJ27=0,0,SUM(DJ27-GQ27)/100000)</f>
        <v>2.0000000000000002E-5</v>
      </c>
      <c r="DL27" s="281">
        <f t="shared" ref="DL27:DL42" si="89">IF(EY3=0,0,EY3/1000000)</f>
        <v>9.9999999999999995E-7</v>
      </c>
      <c r="DM27" s="239">
        <f t="shared" ref="DM27:DM44" si="90">DM3</f>
        <v>5.0999999999999999E-7</v>
      </c>
      <c r="DN27" s="495">
        <f t="shared" ref="DN27:DN44" si="91">SUM(DC27+DE27+DG27+DI27+DK27)</f>
        <v>2.0002200000000001</v>
      </c>
      <c r="DO27" s="495">
        <f t="shared" ref="DO27:DO44" si="92">DN27+DL27</f>
        <v>2.0002210000000002</v>
      </c>
      <c r="DP27" s="495">
        <f t="shared" ref="DP27:DP44" si="93">SUM(DO27+DM27)</f>
        <v>2.0002215100000003</v>
      </c>
      <c r="DQ27" s="599"/>
      <c r="DR27" s="207"/>
      <c r="DS27" s="91" t="str">
        <f>IF($FO27=$FO$28,$CV3,"")</f>
        <v/>
      </c>
      <c r="DT27" s="91" t="str">
        <f>IF($FO27=$FO$29,$CV3,"")</f>
        <v/>
      </c>
      <c r="DU27" s="91" t="str">
        <f>IF($FO27=$FO$30,$CV3,"")</f>
        <v/>
      </c>
      <c r="DV27" s="91" t="str">
        <f>IF($FO27=$FO$31,$CV3,"")</f>
        <v/>
      </c>
      <c r="DW27" s="91" t="str">
        <f>IF($FO27=$FO$32,$CV3,"")</f>
        <v/>
      </c>
      <c r="DX27" s="91" t="str">
        <f t="shared" ref="DX27:DX32" si="94">IF($FO27=$FO$33,$CV3,"")</f>
        <v/>
      </c>
      <c r="DY27" s="91" t="str">
        <f t="shared" ref="DY27:DY33" si="95">IF($FO27=$FO$34,$CV3,"")</f>
        <v/>
      </c>
      <c r="DZ27" s="91" t="str">
        <f t="shared" ref="DZ27:DZ34" si="96">IF($FO27=$FO$35,$CV3,"")</f>
        <v/>
      </c>
      <c r="EA27" s="91" t="str">
        <f t="shared" ref="EA27:EA35" si="97">IF($FO27=$FO$36,$CV3,"")</f>
        <v/>
      </c>
      <c r="EB27" s="91" t="str">
        <f t="shared" ref="EB27:EB36" si="98">IF($FO27=$FO$37,$CV3,"")</f>
        <v/>
      </c>
      <c r="EC27" s="91" t="str">
        <f t="shared" ref="EC27:EC37" si="99">IF($FO27=$FO$38,$CV3,"")</f>
        <v/>
      </c>
      <c r="ED27" s="91" t="str">
        <f t="shared" ref="ED27:ED38" si="100">IF($FO27=$FO$39,$CV3,"")</f>
        <v/>
      </c>
      <c r="EE27" s="91" t="str">
        <f t="shared" ref="EE27:EE39" si="101">IF($FO27=$FO$40,$CV3,"")</f>
        <v/>
      </c>
      <c r="EF27" s="91" t="str">
        <f t="shared" ref="EF27:EF40" si="102">IF($FO27=$FO$41,$CV3,"")</f>
        <v/>
      </c>
      <c r="EG27" s="224" t="str">
        <f t="shared" ref="EG27:EG41" si="103">IF($FO27=$FO$42,$CV3,"")</f>
        <v/>
      </c>
      <c r="EH27" s="214">
        <f>$R$2</f>
        <v>9</v>
      </c>
      <c r="EI27" s="207"/>
      <c r="EJ27" s="91" t="str">
        <f t="shared" ref="EJ27:EX27" si="104">IF(DS$27="","",FU$3)</f>
        <v/>
      </c>
      <c r="EK27" s="91" t="str">
        <f t="shared" si="104"/>
        <v/>
      </c>
      <c r="EL27" s="91" t="str">
        <f t="shared" si="104"/>
        <v/>
      </c>
      <c r="EM27" s="91" t="str">
        <f t="shared" si="104"/>
        <v/>
      </c>
      <c r="EN27" s="91" t="str">
        <f t="shared" si="104"/>
        <v/>
      </c>
      <c r="EO27" s="91" t="str">
        <f t="shared" si="104"/>
        <v/>
      </c>
      <c r="EP27" s="91" t="str">
        <f t="shared" si="104"/>
        <v/>
      </c>
      <c r="EQ27" s="91" t="str">
        <f t="shared" si="104"/>
        <v/>
      </c>
      <c r="ER27" s="91" t="str">
        <f t="shared" si="104"/>
        <v/>
      </c>
      <c r="ES27" s="91" t="str">
        <f t="shared" si="104"/>
        <v/>
      </c>
      <c r="ET27" s="91" t="str">
        <f t="shared" si="104"/>
        <v/>
      </c>
      <c r="EU27" s="91" t="str">
        <f t="shared" si="104"/>
        <v/>
      </c>
      <c r="EV27" s="91" t="str">
        <f t="shared" si="104"/>
        <v/>
      </c>
      <c r="EW27" s="91" t="str">
        <f t="shared" si="104"/>
        <v/>
      </c>
      <c r="EX27" s="224" t="str">
        <f t="shared" si="104"/>
        <v/>
      </c>
      <c r="EY27" s="229">
        <f>COUNTIF($EI27:$EX27,$EH27)</f>
        <v>0</v>
      </c>
      <c r="EZ27" s="13">
        <f t="shared" ref="EZ27:EZ44" si="105">RANK(FY27,FY$27:FY$44)</f>
        <v>14</v>
      </c>
      <c r="FA27" s="657">
        <f t="shared" ref="FA27:FA44" si="106">CV27</f>
        <v>9</v>
      </c>
      <c r="FB27" s="654" t="str">
        <f t="shared" ref="FB27:FB44" si="107">CW27</f>
        <v>Per-Anders Lindstrom</v>
      </c>
      <c r="FC27" s="655">
        <f>DC3</f>
        <v>2</v>
      </c>
      <c r="FD27" s="655">
        <f>COUNTIF(AH$32:AH$39,FB27)</f>
        <v>0</v>
      </c>
      <c r="FE27" s="655">
        <f t="shared" ref="FE27:FE44" si="108">IF(FD27=1,VLOOKUP(FB27,AH$32:AQ$39,10,FALSE),0)</f>
        <v>0</v>
      </c>
      <c r="FF27" s="655">
        <f>COUNTIF(AH$40:AH$43,FB27)+COUNTIF(AH$32:AH$39,FB27)</f>
        <v>0</v>
      </c>
      <c r="FG27" s="658">
        <f t="shared" ref="FG27:FG44" si="109">IF(AR$40="",0,IF(FF27=2,VLOOKUP(FB27,AH$40:AR$43,10,FALSE),0))</f>
        <v>0</v>
      </c>
      <c r="FH27" s="656">
        <f>SUM(FC27+FE27+FG27)</f>
        <v>2</v>
      </c>
      <c r="FI27" s="659">
        <f>DO3</f>
        <v>2.0002310000000003</v>
      </c>
      <c r="FJ27" s="663">
        <f>SUM(FI27-FC27)</f>
        <v>2.3100000000031429E-4</v>
      </c>
      <c r="FK27" s="664">
        <f>IF(AND($FD27=1,$FE27=3),SUM(1/100),0)</f>
        <v>0</v>
      </c>
      <c r="FL27" s="664">
        <f>IF(AND($FD27=1,$FE27=2),SUM(1/1000),0)</f>
        <v>0</v>
      </c>
      <c r="FM27" s="664">
        <f t="shared" ref="FM27:FM44" si="110">IF(AND($FD27=1,$FE27=1),SUM(1/10000),0)</f>
        <v>0</v>
      </c>
      <c r="FN27" s="290">
        <f>IF(AND($FF27=1,$FE27=0),SUM(1/100000),0)</f>
        <v>0</v>
      </c>
      <c r="FO27" s="665">
        <f t="shared" ref="FO27:FO32" si="111">SUM(FH27+SUM(FJ27:FN27))</f>
        <v>2.0002310000000003</v>
      </c>
      <c r="FP27" s="726">
        <f t="shared" ref="FP27:FP44" si="112">IF(FF27=1,COUNTIF(GK$27:GK$30,FA27),0)</f>
        <v>0</v>
      </c>
      <c r="FQ27" s="316">
        <f t="shared" ref="FQ27:FQ44" si="113">IF(FF27=1,COUNTIF(GK$32:GK$35,FA27),0)</f>
        <v>0</v>
      </c>
      <c r="FR27" s="13">
        <f t="shared" ref="FR27:FR44" si="114">COUNTIF(FO$27:FO$44,FO27)</f>
        <v>1</v>
      </c>
      <c r="FS27" s="290">
        <f>IF($FP27=1,VLOOKUP($FA27,$GK$27:$GP$30,6,FALSE),IF(FQ27=1,VLOOKUP(FA27,GK$32:GP$35,6,FALSE),0))</f>
        <v>0</v>
      </c>
      <c r="FT27" s="1192">
        <f t="shared" ref="FT27:FT34" si="115">IF(FF27=2,SUM((FG27*10)+20),IF(FR27&gt;0,SUM(FO27+SUM(FS27/10000)+SUM(EY27/1000000))))</f>
        <v>2.0002310000000003</v>
      </c>
      <c r="FU27" s="1192"/>
      <c r="FV27" s="1192"/>
      <c r="FW27" s="1192"/>
      <c r="FX27" s="676">
        <f t="shared" ref="FX27:FX44" si="116">DM3</f>
        <v>5.0999999999999999E-7</v>
      </c>
      <c r="FY27" s="1114">
        <f>IF(FG27=0.000000001,SUM(20+FH27),SUM(FT27:FX27))</f>
        <v>2.0002315100000003</v>
      </c>
      <c r="FZ27" s="1114"/>
      <c r="GA27" s="1114"/>
      <c r="GB27" s="1114"/>
      <c r="GC27" s="1114"/>
      <c r="GK27" s="625">
        <f>AG32</f>
        <v>2</v>
      </c>
      <c r="GL27" s="629" t="s">
        <v>197</v>
      </c>
      <c r="GM27" s="637">
        <f>IF(AQ32&gt;AQ33,GK27,IF(AQ32&lt;AQ33,GM26,""))</f>
        <v>2</v>
      </c>
      <c r="GN27" s="637">
        <f>IF(AQ32&gt;AQ34,GK27,IF(AQ32&lt;AQ34,GN26,""))</f>
        <v>2</v>
      </c>
      <c r="GO27" s="638">
        <f>IF(AQ32&gt;AQ35,GK27,IF(AQ32&lt;AQ35,GO26,""))</f>
        <v>2</v>
      </c>
      <c r="GP27" s="681">
        <f>COUNTIF(GL27:GO27,GK27)</f>
        <v>3</v>
      </c>
      <c r="GW27" s="1145"/>
      <c r="GX27" s="231" t="str">
        <f>IF($N$24="","",IF($IW$27=$GX$3,$IX$27,IF(AND($H$27=$GX$3,$L$27&lt;&gt;""),$L$27,IF(AND($H$27=$GX$3,$L$27=""),$M$27,""))))</f>
        <v/>
      </c>
      <c r="GY27" s="302">
        <v>65</v>
      </c>
      <c r="GZ27" s="303" t="str">
        <f t="shared" si="77"/>
        <v/>
      </c>
      <c r="HA27" s="98" t="str">
        <f t="shared" si="68"/>
        <v/>
      </c>
      <c r="HB27" s="303"/>
      <c r="HC27" s="98" t="str">
        <f t="shared" si="78"/>
        <v/>
      </c>
      <c r="HG27" s="1145"/>
      <c r="HH27" s="231" t="str">
        <f>IF($N$24="","",IF($IW$27=$HH$3,$IX$27,IF(AND($H$27=$HH$3,$L$27&lt;&gt;""),$L$27,IF(AND($H$27=$HH$3,$L$27=""),$M$27,""))))</f>
        <v/>
      </c>
      <c r="HI27" s="302">
        <v>65</v>
      </c>
      <c r="HJ27" s="303" t="str">
        <f t="shared" si="79"/>
        <v/>
      </c>
      <c r="HK27" s="98" t="str">
        <f t="shared" si="69"/>
        <v/>
      </c>
      <c r="HL27" s="303"/>
      <c r="HM27" s="98" t="str">
        <f t="shared" si="70"/>
        <v/>
      </c>
      <c r="HN27" s="1148">
        <v>4</v>
      </c>
      <c r="HO27" s="346" t="str">
        <f>IF($H24="",$D24,$H24)</f>
        <v>Dimitry Koltakov</v>
      </c>
      <c r="HP27" s="335"/>
      <c r="HQ27" s="335" t="str">
        <f>IF($L24="","",$L24)</f>
        <v/>
      </c>
      <c r="HR27" s="335">
        <v>0.04</v>
      </c>
      <c r="HS27" s="456">
        <f>IF($M24="","",SUM(HR27+$M24))</f>
        <v>3.04</v>
      </c>
      <c r="HT27" s="457">
        <f>RANK(HS27,HS27:HS30)</f>
        <v>1</v>
      </c>
      <c r="HU27" s="335" t="str">
        <f>IF(HQ27="",HO27,HO27&amp;" ("&amp;HQ27&amp;")")</f>
        <v>Dimitry Koltakov</v>
      </c>
      <c r="HV27" s="347">
        <v>1</v>
      </c>
      <c r="HW27" s="336" t="str">
        <f>IF(N24="","",VLOOKUP(HV27,HT27:HU30,2,FALSE))</f>
        <v>Dimitry Koltakov</v>
      </c>
      <c r="HX27" s="1148">
        <v>12</v>
      </c>
      <c r="HY27" s="346" t="str">
        <f>IF($W24="",$S24,$W24)</f>
        <v>Daniel Henderson</v>
      </c>
      <c r="HZ27" s="335"/>
      <c r="IA27" s="335" t="str">
        <f>IF($AA24="","",$AA24)</f>
        <v/>
      </c>
      <c r="IB27" s="335">
        <v>0.04</v>
      </c>
      <c r="IC27" s="456">
        <f>IF($AB24="","",SUM(IB27+$AB24))</f>
        <v>1.04</v>
      </c>
      <c r="ID27" s="457">
        <f>RANK(IC27,IC27:IC30)</f>
        <v>3</v>
      </c>
      <c r="IE27" s="335" t="str">
        <f>IF(IA27="",HY27,HY27&amp;" ("&amp;IA27&amp;")")</f>
        <v>Daniel Henderson</v>
      </c>
      <c r="IF27" s="350">
        <v>1</v>
      </c>
      <c r="IG27" s="336" t="str">
        <f>IF(AC24="","",VLOOKUP(IF27,ID27:IE30,2,FALSE))</f>
        <v>Igor Kononov</v>
      </c>
      <c r="IH27" s="1148">
        <v>20</v>
      </c>
      <c r="II27" s="346" t="str">
        <f>IF($AL24="",$AH24,$AL24)</f>
        <v>Antonin Klatovsky</v>
      </c>
      <c r="IJ27" s="335"/>
      <c r="IK27" s="335" t="str">
        <f>IF($AP24="","",$AP24)</f>
        <v/>
      </c>
      <c r="IL27" s="335">
        <v>0.04</v>
      </c>
      <c r="IM27" s="456">
        <f>IF($AQ24="","",SUM(IL27+$AQ24))</f>
        <v>3.04</v>
      </c>
      <c r="IN27" s="457">
        <f>RANK(IM27,IM27:IM30)</f>
        <v>1</v>
      </c>
      <c r="IO27" s="335" t="str">
        <f>IF(IK27="",II27,II27&amp;" ("&amp;IK27&amp;")")</f>
        <v>Antonin Klatovsky</v>
      </c>
      <c r="IP27" s="350">
        <v>1</v>
      </c>
      <c r="IQ27" s="336" t="str">
        <f>IF(AR24="","",VLOOKUP(IP27,IN27:IO30,2,FALSE))</f>
        <v>Antonin Klatovsky</v>
      </c>
      <c r="IU27" s="1113"/>
      <c r="IV27" s="702"/>
      <c r="IW27" s="703" t="str">
        <f t="shared" si="71"/>
        <v/>
      </c>
      <c r="IX27" s="704"/>
      <c r="IZ27" s="1113"/>
      <c r="JA27" s="702"/>
      <c r="JB27" s="703" t="str">
        <f t="shared" si="72"/>
        <v/>
      </c>
      <c r="JC27" s="704"/>
      <c r="JE27" s="1113"/>
      <c r="JF27" s="702"/>
      <c r="JG27" s="703" t="str">
        <f t="shared" si="73"/>
        <v/>
      </c>
      <c r="JH27" s="704"/>
    </row>
    <row r="28" spans="1:268" ht="12.75" customHeight="1" thickBot="1">
      <c r="A28" s="1211">
        <v>5</v>
      </c>
      <c r="B28" s="329">
        <v>13</v>
      </c>
      <c r="C28" s="106">
        <f>AG$6</f>
        <v>19</v>
      </c>
      <c r="D28" s="516" t="str">
        <f>AH$6</f>
        <v>Daniel Henderson</v>
      </c>
      <c r="E28" s="1010"/>
      <c r="F28" s="524" t="str">
        <f t="shared" si="52"/>
        <v/>
      </c>
      <c r="G28" s="1018"/>
      <c r="H28" s="1210" t="str">
        <f t="shared" si="53"/>
        <v/>
      </c>
      <c r="I28" s="1210"/>
      <c r="J28" s="1210"/>
      <c r="K28" s="1210"/>
      <c r="L28" s="510"/>
      <c r="M28" s="93">
        <f>IF(N28="","",IF(N28="R",3,IF(N29="R",2,IF(N30="R",1,IF(N31="R",0,0)))))</f>
        <v>2</v>
      </c>
      <c r="N28" s="706" t="s">
        <v>222</v>
      </c>
      <c r="O28" s="268"/>
      <c r="P28" s="1211">
        <v>13</v>
      </c>
      <c r="Q28" s="329">
        <v>7</v>
      </c>
      <c r="R28" s="106">
        <f>R$8</f>
        <v>4</v>
      </c>
      <c r="S28" s="516" t="str">
        <f>S$8</f>
        <v>Igor Kononov</v>
      </c>
      <c r="T28" s="1010"/>
      <c r="U28" s="524" t="str">
        <f t="shared" si="80"/>
        <v/>
      </c>
      <c r="V28" s="1018"/>
      <c r="W28" s="1210" t="str">
        <f t="shared" si="54"/>
        <v/>
      </c>
      <c r="X28" s="1210"/>
      <c r="Y28" s="1210"/>
      <c r="Z28" s="1210"/>
      <c r="AA28" s="510"/>
      <c r="AB28" s="93">
        <f>IF(AC28="","",IF(AC28="R",3,IF(AC29="R",2,IF(AC30="R",1,IF(AC31="R",0,0)))))</f>
        <v>3</v>
      </c>
      <c r="AC28" s="723" t="s">
        <v>12</v>
      </c>
      <c r="AD28" s="269"/>
      <c r="AH28" s="8"/>
      <c r="AI28" s="8"/>
      <c r="AJ28" s="8"/>
      <c r="AK28" s="8"/>
      <c r="AQ28" s="529"/>
      <c r="AR28" s="20"/>
      <c r="AT28" s="689">
        <f t="shared" si="57"/>
        <v>17</v>
      </c>
      <c r="AU28" s="65" t="str">
        <f t="shared" si="58"/>
        <v>=</v>
      </c>
      <c r="AV28" s="94" t="str">
        <f t="shared" si="59"/>
        <v>Rene Stellingwerf</v>
      </c>
      <c r="AW28" s="3" t="str">
        <f t="shared" si="60"/>
        <v>N</v>
      </c>
      <c r="AX28" s="4" t="str">
        <f t="shared" si="61"/>
        <v>N</v>
      </c>
      <c r="AY28" s="4" t="str">
        <f t="shared" si="62"/>
        <v>N</v>
      </c>
      <c r="AZ28" s="4" t="str">
        <f t="shared" si="63"/>
        <v>N</v>
      </c>
      <c r="BA28" s="26" t="str">
        <f t="shared" si="64"/>
        <v>N</v>
      </c>
      <c r="BB28" s="189">
        <f t="shared" si="65"/>
        <v>0</v>
      </c>
      <c r="BD28" s="192">
        <f t="shared" si="66"/>
        <v>16</v>
      </c>
      <c r="BE28" s="131" t="str">
        <f t="shared" si="74"/>
        <v>Rene Stellingwerf</v>
      </c>
      <c r="BF28" s="95">
        <f t="shared" si="75"/>
        <v>0</v>
      </c>
      <c r="BG28"/>
      <c r="BH28" s="390">
        <f t="shared" si="76"/>
        <v>0</v>
      </c>
      <c r="BI28" s="974">
        <v>2</v>
      </c>
      <c r="BL28" s="8">
        <f>$M28</f>
        <v>2</v>
      </c>
      <c r="BQ28" s="8">
        <f>$AB28</f>
        <v>3</v>
      </c>
      <c r="BY28" s="8"/>
      <c r="BZ28" s="16">
        <v>17</v>
      </c>
      <c r="CA28" s="16">
        <f>(AB10)</f>
        <v>0</v>
      </c>
      <c r="CB28" s="13">
        <v>1</v>
      </c>
      <c r="CG28" s="13">
        <v>2</v>
      </c>
      <c r="CH28" s="13" t="str">
        <f t="shared" ref="CH28:CH44" si="117">VLOOKUP(CG28,CU$27:DC$44,3,FALSE)</f>
        <v>Daniil Ivanov</v>
      </c>
      <c r="CI28" s="14">
        <f t="shared" si="82"/>
        <v>11</v>
      </c>
      <c r="CU28" s="13">
        <f t="shared" ref="CU28:CU44" si="118">RANK(DP28,DP$27:DP$44)</f>
        <v>3</v>
      </c>
      <c r="CV28" s="13">
        <f t="shared" si="83"/>
        <v>3</v>
      </c>
      <c r="CW28" s="13" t="str">
        <f t="shared" si="83"/>
        <v>Dimitry Khomitsevich</v>
      </c>
      <c r="CX28" s="13">
        <f t="shared" si="83"/>
        <v>3</v>
      </c>
      <c r="CY28" s="13">
        <f t="shared" si="83"/>
        <v>3</v>
      </c>
      <c r="CZ28" s="13">
        <f t="shared" si="83"/>
        <v>2</v>
      </c>
      <c r="DA28" s="13">
        <f t="shared" si="83"/>
        <v>3</v>
      </c>
      <c r="DC28" s="13">
        <f t="shared" ref="DC28:DC44" si="119">SUM(CX28:DB28)</f>
        <v>11</v>
      </c>
      <c r="DD28" s="243">
        <f t="shared" si="84"/>
        <v>3</v>
      </c>
      <c r="DE28" s="236">
        <f t="shared" ref="DE28:DE44" si="120">IF(DD28=0,0,DD28/100)</f>
        <v>0.03</v>
      </c>
      <c r="DF28" s="232">
        <f t="shared" si="85"/>
        <v>1</v>
      </c>
      <c r="DG28" s="234">
        <f t="shared" ref="DG28:DG44" si="121">IF(DF28=0,0,DF28/1000)</f>
        <v>1E-3</v>
      </c>
      <c r="DH28" s="232">
        <f t="shared" si="86"/>
        <v>0</v>
      </c>
      <c r="DI28" s="41">
        <f t="shared" ref="DI28:DI44" si="122">IF(DH28=0,0,DH28/10000)</f>
        <v>0</v>
      </c>
      <c r="DJ28" s="271">
        <f t="shared" si="87"/>
        <v>0</v>
      </c>
      <c r="DK28" s="273">
        <f t="shared" si="88"/>
        <v>0</v>
      </c>
      <c r="DL28" s="281">
        <f t="shared" si="89"/>
        <v>0</v>
      </c>
      <c r="DM28" s="238">
        <f t="shared" si="90"/>
        <v>5.7000000000000005E-7</v>
      </c>
      <c r="DN28" s="284">
        <f t="shared" si="91"/>
        <v>11.030999999999999</v>
      </c>
      <c r="DO28" s="284">
        <f t="shared" si="92"/>
        <v>11.030999999999999</v>
      </c>
      <c r="DP28" s="284">
        <f t="shared" si="93"/>
        <v>11.031000569999998</v>
      </c>
      <c r="DQ28" s="597"/>
      <c r="DR28" s="205" t="str">
        <f t="shared" ref="DR28:DR42" si="123">IF($FO28=$FO$27,$CV4,"")</f>
        <v/>
      </c>
      <c r="DS28" s="208"/>
      <c r="DT28" s="4" t="str">
        <f>IF($FO28=$FO$29,$CV4,"")</f>
        <v/>
      </c>
      <c r="DU28" s="4" t="str">
        <f>IF($FO28=$FO$30,$CV4,"")</f>
        <v/>
      </c>
      <c r="DV28" s="4" t="str">
        <f>IF($FO28=$FO$31,$CV4,"")</f>
        <v/>
      </c>
      <c r="DW28" s="4" t="str">
        <f>IF($FO28=$FO$32,$CV4,"")</f>
        <v/>
      </c>
      <c r="DX28" s="4" t="str">
        <f t="shared" si="94"/>
        <v/>
      </c>
      <c r="DY28" s="4" t="str">
        <f t="shared" si="95"/>
        <v/>
      </c>
      <c r="DZ28" s="4" t="str">
        <f t="shared" si="96"/>
        <v/>
      </c>
      <c r="EA28" s="4" t="str">
        <f t="shared" si="97"/>
        <v/>
      </c>
      <c r="EB28" s="4" t="str">
        <f t="shared" si="98"/>
        <v/>
      </c>
      <c r="EC28" s="4" t="str">
        <f t="shared" si="99"/>
        <v/>
      </c>
      <c r="ED28" s="4" t="str">
        <f t="shared" si="100"/>
        <v/>
      </c>
      <c r="EE28" s="4" t="str">
        <f t="shared" si="101"/>
        <v/>
      </c>
      <c r="EF28" s="4" t="str">
        <f t="shared" si="102"/>
        <v/>
      </c>
      <c r="EG28" s="225" t="str">
        <f t="shared" si="103"/>
        <v/>
      </c>
      <c r="EH28" s="215">
        <f>$R$3</f>
        <v>3</v>
      </c>
      <c r="EI28" s="205" t="str">
        <f>IF(DR$28="","",FT$4)</f>
        <v/>
      </c>
      <c r="EJ28" s="208"/>
      <c r="EK28" s="4" t="str">
        <f t="shared" ref="EK28:EX28" si="124">IF(DT$28="","",FV$4)</f>
        <v/>
      </c>
      <c r="EL28" s="4" t="str">
        <f t="shared" si="124"/>
        <v/>
      </c>
      <c r="EM28" s="4" t="str">
        <f t="shared" si="124"/>
        <v/>
      </c>
      <c r="EN28" s="4" t="str">
        <f t="shared" si="124"/>
        <v/>
      </c>
      <c r="EO28" s="4" t="str">
        <f t="shared" si="124"/>
        <v/>
      </c>
      <c r="EP28" s="4" t="str">
        <f t="shared" si="124"/>
        <v/>
      </c>
      <c r="EQ28" s="4" t="str">
        <f t="shared" si="124"/>
        <v/>
      </c>
      <c r="ER28" s="4" t="str">
        <f t="shared" si="124"/>
        <v/>
      </c>
      <c r="ES28" s="4" t="str">
        <f t="shared" si="124"/>
        <v/>
      </c>
      <c r="ET28" s="4" t="str">
        <f t="shared" si="124"/>
        <v/>
      </c>
      <c r="EU28" s="4" t="str">
        <f t="shared" si="124"/>
        <v/>
      </c>
      <c r="EV28" s="4" t="str">
        <f t="shared" si="124"/>
        <v/>
      </c>
      <c r="EW28" s="4" t="str">
        <f t="shared" si="124"/>
        <v/>
      </c>
      <c r="EX28" s="225" t="str">
        <f t="shared" si="124"/>
        <v/>
      </c>
      <c r="EY28" s="230">
        <f t="shared" ref="EY28:EY42" si="125">COUNTIF($EI28:$EX28,$EH28)</f>
        <v>0</v>
      </c>
      <c r="EZ28" s="13">
        <f t="shared" si="105"/>
        <v>3</v>
      </c>
      <c r="FA28" s="657">
        <f t="shared" si="106"/>
        <v>3</v>
      </c>
      <c r="FB28" s="654" t="str">
        <f t="shared" si="107"/>
        <v>Dimitry Khomitsevich</v>
      </c>
      <c r="FC28" s="655">
        <f t="shared" ref="FC28:FC44" si="126">DC4</f>
        <v>14</v>
      </c>
      <c r="FD28" s="655">
        <f t="shared" ref="FD28:FD44" si="127">COUNTIF(AH$32:AH$39,FB28)</f>
        <v>1</v>
      </c>
      <c r="FE28" s="655">
        <f t="shared" si="108"/>
        <v>3</v>
      </c>
      <c r="FF28" s="655">
        <f t="shared" ref="FF28:FF44" si="128">COUNTIF(AH$40:AH$43,FB28)+COUNTIF(AH$32:AH$39,FB28)</f>
        <v>2</v>
      </c>
      <c r="FG28" s="658">
        <f t="shared" si="109"/>
        <v>1</v>
      </c>
      <c r="FH28" s="656">
        <f t="shared" ref="FH28:FH44" si="129">SUM(FC28+FE28+FG28)</f>
        <v>18</v>
      </c>
      <c r="FI28" s="660">
        <f t="shared" ref="FI28:FI44" si="130">DO4</f>
        <v>14.040999999999999</v>
      </c>
      <c r="FJ28" s="663">
        <f t="shared" ref="FJ28:FJ44" si="131">SUM(FI28-FC28)</f>
        <v>4.0999999999998593E-2</v>
      </c>
      <c r="FK28" s="726">
        <f t="shared" ref="FK28:FK44" si="132">IF(AND($FD28=1,$FE28=3),SUM(1/100),0)</f>
        <v>0.01</v>
      </c>
      <c r="FL28" s="726">
        <f t="shared" ref="FL28:FL44" si="133">IF(AND($FD28=1,$FE28=2),SUM(1/1000),0)</f>
        <v>0</v>
      </c>
      <c r="FM28" s="726">
        <f t="shared" si="110"/>
        <v>0</v>
      </c>
      <c r="FN28" s="665">
        <f t="shared" ref="FN28:FN44" si="134">IF(AND($FF28=1,$FE28=0),SUM(1/100000),0)</f>
        <v>0</v>
      </c>
      <c r="FO28" s="665">
        <f t="shared" si="111"/>
        <v>18.050999999999998</v>
      </c>
      <c r="FP28" s="726">
        <f t="shared" si="112"/>
        <v>0</v>
      </c>
      <c r="FQ28" s="316">
        <f t="shared" si="113"/>
        <v>0</v>
      </c>
      <c r="FR28" s="13">
        <f t="shared" si="114"/>
        <v>1</v>
      </c>
      <c r="FS28" s="290">
        <f t="shared" ref="FS28:FS44" si="135">IF($FP28=1,VLOOKUP($FA28,$GK$27:$GP$30,6,FALSE),IF(FQ28=1,VLOOKUP(FA28,GK$32:GP$35,6,FALSE),0))</f>
        <v>0</v>
      </c>
      <c r="FT28" s="1192">
        <f t="shared" si="115"/>
        <v>30</v>
      </c>
      <c r="FU28" s="1192"/>
      <c r="FV28" s="1192"/>
      <c r="FW28" s="1192"/>
      <c r="FX28" s="726">
        <f t="shared" si="116"/>
        <v>5.7000000000000005E-7</v>
      </c>
      <c r="FY28" s="1114">
        <f>IF(FG28=0.000000001,SUM(20+FH28),SUM(FT28:FX28))</f>
        <v>30.000000570000001</v>
      </c>
      <c r="FZ28" s="1114"/>
      <c r="GA28" s="1114"/>
      <c r="GB28" s="1114"/>
      <c r="GC28" s="1114"/>
      <c r="GK28" s="626">
        <f>AG33</f>
        <v>4</v>
      </c>
      <c r="GL28" s="634">
        <f>IF(AQ33&gt;AQ32,GK28,IF(AQ33&lt;AQ32,GL26,""))</f>
        <v>2</v>
      </c>
      <c r="GM28" s="628" t="s">
        <v>197</v>
      </c>
      <c r="GN28" s="635">
        <f>IF(AQ33&gt;AQ34,GK28,IF(AQ33&lt;AQ34,GN26,""))</f>
        <v>4</v>
      </c>
      <c r="GO28" s="636">
        <f>IF(AQ33&gt;AQ35,GK28,IF(AQ33&lt;AQ35,GO26,""))</f>
        <v>4</v>
      </c>
      <c r="GP28" s="682">
        <f>COUNTIF(GL28:GO28,GK28)</f>
        <v>2</v>
      </c>
      <c r="GW28" s="1143">
        <v>5</v>
      </c>
      <c r="GX28" s="229" t="str">
        <f>IF($N$28="","",IF($IW$28=$GX$3,$IX$28,IF(AND($H$28=$GX$3,$L$28&lt;&gt;""),$L$28,IF(AND($H$28=$GX$3,$L$28=""),$M$28,""))))</f>
        <v/>
      </c>
      <c r="GY28" s="299">
        <v>64</v>
      </c>
      <c r="GZ28" s="300" t="str">
        <f t="shared" si="77"/>
        <v/>
      </c>
      <c r="HA28" s="93" t="str">
        <f t="shared" si="68"/>
        <v/>
      </c>
      <c r="HB28" s="300"/>
      <c r="HC28" s="93" t="str">
        <f t="shared" si="78"/>
        <v/>
      </c>
      <c r="HG28" s="1143">
        <v>5</v>
      </c>
      <c r="HH28" s="229" t="str">
        <f>IF($N$28="","",IF($IW$28=$HH$3,$IX$28,IF(AND($H$28=$HH$3,$L$28&lt;&gt;""),$L$28,IF(AND($H$28=$HH$3,$L$28=""),$M$28,""))))</f>
        <v/>
      </c>
      <c r="HI28" s="299">
        <v>64</v>
      </c>
      <c r="HJ28" s="300" t="str">
        <f t="shared" si="79"/>
        <v/>
      </c>
      <c r="HK28" s="93" t="str">
        <f t="shared" si="69"/>
        <v/>
      </c>
      <c r="HL28" s="300"/>
      <c r="HM28" s="93" t="str">
        <f t="shared" si="70"/>
        <v/>
      </c>
      <c r="HN28" s="1149"/>
      <c r="HO28" s="131" t="str">
        <f>IF($H25="",$D25,$H25)</f>
        <v>Stefan Pletschacher</v>
      </c>
      <c r="HP28" s="327"/>
      <c r="HQ28" s="327" t="str">
        <f>IF($L25="","",$L25)</f>
        <v/>
      </c>
      <c r="HR28" s="327">
        <v>0.03</v>
      </c>
      <c r="HS28" s="458">
        <f>IF($M25="","",SUM(HR28+$M25))</f>
        <v>0.03</v>
      </c>
      <c r="HT28" s="327">
        <f>RANK(HS28,HS27:HS30)</f>
        <v>4</v>
      </c>
      <c r="HU28" s="327" t="str">
        <f>IF(HQ28="",HO28,HO28&amp;" ("&amp;HQ28&amp;")")</f>
        <v>Stefan Pletschacher</v>
      </c>
      <c r="HV28" s="328">
        <v>2</v>
      </c>
      <c r="HW28" s="337" t="str">
        <f>IF(N24="","",VLOOKUP(HV28,HT27:HU30,2,FALSE))</f>
        <v>Stefan Svensson</v>
      </c>
      <c r="HX28" s="1149"/>
      <c r="HY28" s="131" t="str">
        <f>IF($W25="",$S25,$W25)</f>
        <v>Jan Klatovsky</v>
      </c>
      <c r="HZ28" s="327"/>
      <c r="IA28" s="327" t="str">
        <f>IF($AA25="","",$AA25)</f>
        <v/>
      </c>
      <c r="IB28" s="327">
        <v>0.03</v>
      </c>
      <c r="IC28" s="458">
        <f>IF($AB25="","",SUM(IB28+$AB25))</f>
        <v>0.03</v>
      </c>
      <c r="ID28" s="327">
        <f>RANK(IC28,IC27:IC30)</f>
        <v>4</v>
      </c>
      <c r="IE28" s="327" t="str">
        <f>IF(IA28="",HY28,HY28&amp;" ("&amp;IA28&amp;")")</f>
        <v>Jan Klatovsky</v>
      </c>
      <c r="IF28" s="344">
        <v>2</v>
      </c>
      <c r="IG28" s="337" t="str">
        <f>IF(AC24="","",VLOOKUP(IF28,ID27:IE30,2,FALSE))</f>
        <v>Hans Weber</v>
      </c>
      <c r="IH28" s="1149"/>
      <c r="II28" s="131" t="str">
        <f>IF($AL25="",$AH25,$AL25)</f>
        <v>Stefan Pletschacher</v>
      </c>
      <c r="IJ28" s="327"/>
      <c r="IK28" s="327" t="str">
        <f>IF($AP25="","",$AP25)</f>
        <v/>
      </c>
      <c r="IL28" s="327">
        <v>0.03</v>
      </c>
      <c r="IM28" s="327">
        <f>IF($AQ25="","",SUM(IL28+$AQ25))</f>
        <v>1.03</v>
      </c>
      <c r="IN28" s="327">
        <f>RANK(IM28,IM27:IM30)</f>
        <v>3</v>
      </c>
      <c r="IO28" s="327" t="str">
        <f>IF(IK28="",II28,II28&amp;" ("&amp;IK28&amp;")")</f>
        <v>Stefan Pletschacher</v>
      </c>
      <c r="IP28" s="344">
        <v>2</v>
      </c>
      <c r="IQ28" s="337" t="str">
        <f>IF(AR24="","",VLOOKUP(IP28,IN27:IO30,2,FALSE))</f>
        <v>Jan Klatovsky</v>
      </c>
      <c r="IU28" s="1111">
        <v>5</v>
      </c>
      <c r="IV28" s="695"/>
      <c r="IW28" s="696" t="str">
        <f t="shared" si="71"/>
        <v/>
      </c>
      <c r="IX28" s="697"/>
      <c r="IZ28" s="1111">
        <v>13</v>
      </c>
      <c r="JA28" s="695"/>
      <c r="JB28" s="696" t="str">
        <f t="shared" si="72"/>
        <v/>
      </c>
      <c r="JC28" s="697"/>
      <c r="JE28" s="705"/>
      <c r="JF28" s="705"/>
      <c r="JG28" s="705"/>
      <c r="JH28" s="705"/>
    </row>
    <row r="29" spans="1:268" ht="12.75" customHeight="1" thickBot="1">
      <c r="A29" s="1212"/>
      <c r="B29" s="39">
        <v>1</v>
      </c>
      <c r="C29" s="101">
        <f>R$2</f>
        <v>9</v>
      </c>
      <c r="D29" s="517" t="str">
        <f>S$2</f>
        <v>Per-Anders Lindstrom</v>
      </c>
      <c r="E29" s="1011"/>
      <c r="F29" s="525" t="str">
        <f t="shared" si="52"/>
        <v/>
      </c>
      <c r="G29" s="1019"/>
      <c r="H29" s="1198" t="str">
        <f t="shared" si="53"/>
        <v/>
      </c>
      <c r="I29" s="1198"/>
      <c r="J29" s="1198"/>
      <c r="K29" s="1198"/>
      <c r="L29" s="508"/>
      <c r="M29" s="146">
        <f>IF(N28="","",IF(N28="B",3,IF(N29="B",2,IF(N30="B",1,IF(N31="B",0,0)))))</f>
        <v>0</v>
      </c>
      <c r="N29" s="707" t="s">
        <v>12</v>
      </c>
      <c r="O29" s="268"/>
      <c r="P29" s="1212"/>
      <c r="Q29" s="39">
        <v>12</v>
      </c>
      <c r="R29" s="101">
        <f>AG$5</f>
        <v>11</v>
      </c>
      <c r="S29" s="517" t="str">
        <f>AH$5</f>
        <v>Vitaly Khomitsevich</v>
      </c>
      <c r="T29" s="1011"/>
      <c r="U29" s="525" t="str">
        <f t="shared" si="80"/>
        <v/>
      </c>
      <c r="V29" s="1019"/>
      <c r="W29" s="1198" t="str">
        <f t="shared" si="54"/>
        <v/>
      </c>
      <c r="X29" s="1198"/>
      <c r="Y29" s="1198"/>
      <c r="Z29" s="1198"/>
      <c r="AA29" s="508"/>
      <c r="AB29" s="146">
        <f>IF(AC28="","",IF(AC28="B",3,IF(AC29="B",2,IF(AC30="B",1,IF(AC31="B",0,0)))))</f>
        <v>2</v>
      </c>
      <c r="AC29" s="724" t="s">
        <v>46</v>
      </c>
      <c r="AD29" s="269"/>
      <c r="AE29" s="1218" t="s">
        <v>26</v>
      </c>
      <c r="AF29" s="1219"/>
      <c r="AG29" s="1219"/>
      <c r="AH29" s="1219"/>
      <c r="AI29" s="1219"/>
      <c r="AJ29" s="1219"/>
      <c r="AK29" s="1219"/>
      <c r="AL29" s="1219"/>
      <c r="AM29" s="1219"/>
      <c r="AN29" s="1219"/>
      <c r="AO29" s="1219"/>
      <c r="AP29" s="1219"/>
      <c r="AQ29" s="1219"/>
      <c r="AR29" s="1220"/>
      <c r="AT29" s="690">
        <f t="shared" si="57"/>
        <v>17</v>
      </c>
      <c r="AU29" s="66" t="str">
        <f t="shared" si="58"/>
        <v>=</v>
      </c>
      <c r="AV29" s="96" t="str">
        <f t="shared" si="59"/>
        <v>Max Niedermaier</v>
      </c>
      <c r="AW29" s="15" t="str">
        <f t="shared" si="60"/>
        <v/>
      </c>
      <c r="AX29" s="38" t="str">
        <f t="shared" si="61"/>
        <v/>
      </c>
      <c r="AY29" s="38" t="str">
        <f t="shared" si="62"/>
        <v/>
      </c>
      <c r="AZ29" s="38" t="str">
        <f t="shared" si="63"/>
        <v/>
      </c>
      <c r="BA29" s="97" t="str">
        <f t="shared" si="64"/>
        <v/>
      </c>
      <c r="BB29" s="190">
        <f t="shared" si="65"/>
        <v>0</v>
      </c>
      <c r="BD29" s="193">
        <f t="shared" si="66"/>
        <v>18</v>
      </c>
      <c r="BE29" s="132" t="str">
        <f t="shared" si="74"/>
        <v>Max Niedermaier</v>
      </c>
      <c r="BF29" s="98">
        <f t="shared" si="75"/>
        <v>0</v>
      </c>
      <c r="BG29"/>
      <c r="BH29" s="390">
        <f t="shared" si="76"/>
        <v>0</v>
      </c>
      <c r="BI29" s="974">
        <v>1</v>
      </c>
      <c r="BM29" s="8">
        <f>$M29</f>
        <v>0</v>
      </c>
      <c r="BR29" s="8">
        <f>$AB29</f>
        <v>2</v>
      </c>
      <c r="BY29" s="8"/>
      <c r="BZ29" s="16">
        <v>18</v>
      </c>
      <c r="CA29" s="16" t="str">
        <f>(AQ10)</f>
        <v/>
      </c>
      <c r="CB29" s="13">
        <v>2</v>
      </c>
      <c r="CG29" s="13">
        <v>3</v>
      </c>
      <c r="CH29" s="13" t="str">
        <f t="shared" si="117"/>
        <v>Dimitry Khomitsevich</v>
      </c>
      <c r="CI29" s="14">
        <f t="shared" si="82"/>
        <v>11</v>
      </c>
      <c r="CU29" s="13">
        <f t="shared" si="118"/>
        <v>6</v>
      </c>
      <c r="CV29" s="13">
        <f t="shared" si="83"/>
        <v>10</v>
      </c>
      <c r="CW29" s="13" t="str">
        <f t="shared" si="83"/>
        <v>Franz Zorn</v>
      </c>
      <c r="CX29" s="13">
        <f t="shared" si="83"/>
        <v>2</v>
      </c>
      <c r="CY29" s="13">
        <f t="shared" si="83"/>
        <v>1</v>
      </c>
      <c r="CZ29" s="13">
        <f t="shared" si="83"/>
        <v>2</v>
      </c>
      <c r="DA29" s="13">
        <f t="shared" si="83"/>
        <v>3</v>
      </c>
      <c r="DC29" s="13">
        <f t="shared" si="119"/>
        <v>8</v>
      </c>
      <c r="DD29" s="243">
        <f t="shared" si="84"/>
        <v>1</v>
      </c>
      <c r="DE29" s="236">
        <f t="shared" si="120"/>
        <v>0.01</v>
      </c>
      <c r="DF29" s="232">
        <f t="shared" si="85"/>
        <v>2</v>
      </c>
      <c r="DG29" s="234">
        <f t="shared" si="121"/>
        <v>2E-3</v>
      </c>
      <c r="DH29" s="232">
        <f t="shared" si="86"/>
        <v>1</v>
      </c>
      <c r="DI29" s="41">
        <f t="shared" si="122"/>
        <v>1E-4</v>
      </c>
      <c r="DJ29" s="271">
        <f t="shared" si="87"/>
        <v>0</v>
      </c>
      <c r="DK29" s="273">
        <f t="shared" si="88"/>
        <v>0</v>
      </c>
      <c r="DL29" s="281">
        <f t="shared" si="89"/>
        <v>0</v>
      </c>
      <c r="DM29" s="239">
        <f t="shared" si="90"/>
        <v>4.9999999999999998E-7</v>
      </c>
      <c r="DN29" s="285">
        <f t="shared" si="91"/>
        <v>8.0121000000000002</v>
      </c>
      <c r="DO29" s="285">
        <f t="shared" si="92"/>
        <v>8.0121000000000002</v>
      </c>
      <c r="DP29" s="285">
        <f t="shared" si="93"/>
        <v>8.0121005000000007</v>
      </c>
      <c r="DQ29" s="597"/>
      <c r="DR29" s="205" t="str">
        <f t="shared" si="123"/>
        <v/>
      </c>
      <c r="DS29" s="4" t="str">
        <f t="shared" ref="DS29:DS42" si="136">IF($FO29=$FO$28,$CV5,"")</f>
        <v/>
      </c>
      <c r="DT29" s="208"/>
      <c r="DU29" s="4" t="str">
        <f>IF($FO29=$FO$30,$CV5,"")</f>
        <v/>
      </c>
      <c r="DV29" s="4" t="str">
        <f>IF($FO29=$FO$31,$CV5,"")</f>
        <v/>
      </c>
      <c r="DW29" s="4" t="str">
        <f>IF($FO29=$FO$32,$CV5,"")</f>
        <v/>
      </c>
      <c r="DX29" s="4" t="str">
        <f t="shared" si="94"/>
        <v/>
      </c>
      <c r="DY29" s="4" t="str">
        <f t="shared" si="95"/>
        <v/>
      </c>
      <c r="DZ29" s="4" t="str">
        <f t="shared" si="96"/>
        <v/>
      </c>
      <c r="EA29" s="4" t="str">
        <f t="shared" si="97"/>
        <v/>
      </c>
      <c r="EB29" s="4" t="str">
        <f t="shared" si="98"/>
        <v/>
      </c>
      <c r="EC29" s="4" t="str">
        <f t="shared" si="99"/>
        <v/>
      </c>
      <c r="ED29" s="4" t="str">
        <f t="shared" si="100"/>
        <v/>
      </c>
      <c r="EE29" s="4" t="str">
        <f t="shared" si="101"/>
        <v/>
      </c>
      <c r="EF29" s="4" t="str">
        <f t="shared" si="102"/>
        <v/>
      </c>
      <c r="EG29" s="225" t="str">
        <f t="shared" si="103"/>
        <v/>
      </c>
      <c r="EH29" s="215">
        <f>$R$4</f>
        <v>10</v>
      </c>
      <c r="EI29" s="205" t="str">
        <f>IF(DR$29="","",FT$5)</f>
        <v/>
      </c>
      <c r="EJ29" s="4" t="str">
        <f t="shared" ref="EJ29:EX29" si="137">IF(DS$29="","",FU$5)</f>
        <v/>
      </c>
      <c r="EK29" s="208"/>
      <c r="EL29" s="4" t="str">
        <f t="shared" si="137"/>
        <v/>
      </c>
      <c r="EM29" s="4" t="str">
        <f t="shared" si="137"/>
        <v/>
      </c>
      <c r="EN29" s="4" t="str">
        <f t="shared" si="137"/>
        <v/>
      </c>
      <c r="EO29" s="4" t="str">
        <f t="shared" si="137"/>
        <v/>
      </c>
      <c r="EP29" s="4" t="str">
        <f t="shared" si="137"/>
        <v/>
      </c>
      <c r="EQ29" s="4" t="str">
        <f t="shared" si="137"/>
        <v/>
      </c>
      <c r="ER29" s="4" t="str">
        <f t="shared" si="137"/>
        <v/>
      </c>
      <c r="ES29" s="4" t="str">
        <f t="shared" si="137"/>
        <v/>
      </c>
      <c r="ET29" s="4" t="str">
        <f t="shared" si="137"/>
        <v/>
      </c>
      <c r="EU29" s="4" t="str">
        <f t="shared" si="137"/>
        <v/>
      </c>
      <c r="EV29" s="4" t="str">
        <f t="shared" si="137"/>
        <v/>
      </c>
      <c r="EW29" s="4" t="str">
        <f t="shared" si="137"/>
        <v/>
      </c>
      <c r="EX29" s="225" t="str">
        <f t="shared" si="137"/>
        <v/>
      </c>
      <c r="EY29" s="230">
        <f t="shared" si="125"/>
        <v>0</v>
      </c>
      <c r="EZ29" s="13">
        <f t="shared" si="105"/>
        <v>6</v>
      </c>
      <c r="FA29" s="657">
        <f t="shared" si="106"/>
        <v>10</v>
      </c>
      <c r="FB29" s="654" t="str">
        <f t="shared" si="107"/>
        <v>Franz Zorn</v>
      </c>
      <c r="FC29" s="655">
        <f t="shared" si="126"/>
        <v>10</v>
      </c>
      <c r="FD29" s="655">
        <f t="shared" si="127"/>
        <v>1</v>
      </c>
      <c r="FE29" s="655">
        <f t="shared" si="108"/>
        <v>1</v>
      </c>
      <c r="FF29" s="655">
        <f t="shared" si="128"/>
        <v>1</v>
      </c>
      <c r="FG29" s="658">
        <f t="shared" si="109"/>
        <v>0</v>
      </c>
      <c r="FH29" s="656">
        <f t="shared" si="129"/>
        <v>11</v>
      </c>
      <c r="FI29" s="660">
        <f t="shared" si="130"/>
        <v>10.0131</v>
      </c>
      <c r="FJ29" s="663">
        <f t="shared" si="131"/>
        <v>1.3099999999999667E-2</v>
      </c>
      <c r="FK29" s="726">
        <f t="shared" si="132"/>
        <v>0</v>
      </c>
      <c r="FL29" s="726">
        <f t="shared" si="133"/>
        <v>0</v>
      </c>
      <c r="FM29" s="726">
        <f t="shared" si="110"/>
        <v>1E-4</v>
      </c>
      <c r="FN29" s="665">
        <f t="shared" si="134"/>
        <v>0</v>
      </c>
      <c r="FO29" s="665">
        <f t="shared" si="111"/>
        <v>11.013199999999999</v>
      </c>
      <c r="FP29" s="726">
        <f t="shared" si="112"/>
        <v>1</v>
      </c>
      <c r="FQ29" s="316">
        <f t="shared" si="113"/>
        <v>0</v>
      </c>
      <c r="FR29" s="13">
        <f t="shared" si="114"/>
        <v>1</v>
      </c>
      <c r="FS29" s="290">
        <f t="shared" si="135"/>
        <v>1</v>
      </c>
      <c r="FT29" s="1192">
        <f t="shared" si="115"/>
        <v>11.013299999999999</v>
      </c>
      <c r="FU29" s="1192"/>
      <c r="FV29" s="1192"/>
      <c r="FW29" s="1192"/>
      <c r="FX29" s="726">
        <f t="shared" si="116"/>
        <v>4.9999999999999998E-7</v>
      </c>
      <c r="FY29" s="1114">
        <f>IF(FG29=0.000000001,SUM(20+FH29),SUM(FT29:FX29))</f>
        <v>11.0133005</v>
      </c>
      <c r="FZ29" s="1114"/>
      <c r="GA29" s="1114"/>
      <c r="GB29" s="1114"/>
      <c r="GC29" s="1114"/>
      <c r="GK29" s="626">
        <f>AG34</f>
        <v>10</v>
      </c>
      <c r="GL29" s="634">
        <f>IF(AQ34&gt;AQ32,GK29,IF(AQ34&lt;AQ32,GL26,""))</f>
        <v>2</v>
      </c>
      <c r="GM29" s="635">
        <f>IF(AQ34&gt;AQ33,GK29,IF(AQ34&lt;AQ33,GM26,""))</f>
        <v>4</v>
      </c>
      <c r="GN29" s="628" t="s">
        <v>197</v>
      </c>
      <c r="GO29" s="636">
        <f>IF(AQ34&gt;AQ35,GK29,IF(AQ34&lt;AQ35,GO26,""))</f>
        <v>10</v>
      </c>
      <c r="GP29" s="682">
        <f>COUNTIF(GL29:GO29,GK29)</f>
        <v>1</v>
      </c>
      <c r="GW29" s="1144"/>
      <c r="GX29" s="230" t="str">
        <f>IF($N$28="","",IF($IW$29=$GX$3,$IX$29,IF(AND($H$29=$GX$3,$L$29&lt;&gt;""),$L$29,IF(AND($H$29=$GX$3,$L$29=""),$M$29,""))))</f>
        <v/>
      </c>
      <c r="GY29" s="301">
        <v>63</v>
      </c>
      <c r="GZ29" s="5" t="str">
        <f t="shared" si="77"/>
        <v/>
      </c>
      <c r="HA29" s="95" t="str">
        <f t="shared" si="68"/>
        <v/>
      </c>
      <c r="HB29" s="5"/>
      <c r="HC29" s="95" t="str">
        <f t="shared" si="78"/>
        <v/>
      </c>
      <c r="HG29" s="1144"/>
      <c r="HH29" s="230" t="str">
        <f>IF($N$28="","",IF($IW$29=$HH$3,$IX$29,IF(AND($H$29=$HH$3,$L$29&lt;&gt;""),$L$29,IF(AND($H$29=$HH$3,$L$29=""),$M$29,""))))</f>
        <v/>
      </c>
      <c r="HI29" s="301">
        <v>63</v>
      </c>
      <c r="HJ29" s="5" t="str">
        <f t="shared" si="79"/>
        <v/>
      </c>
      <c r="HK29" s="95" t="str">
        <f t="shared" si="69"/>
        <v/>
      </c>
      <c r="HL29" s="5"/>
      <c r="HM29" s="95" t="str">
        <f t="shared" si="70"/>
        <v/>
      </c>
      <c r="HN29" s="1149"/>
      <c r="HO29" s="131" t="str">
        <f>IF($H26="",$D26,$H26)</f>
        <v>Stefan Svensson</v>
      </c>
      <c r="HP29" s="327"/>
      <c r="HQ29" s="327" t="str">
        <f>IF($L26="","",$L26)</f>
        <v/>
      </c>
      <c r="HR29" s="327">
        <v>0.02</v>
      </c>
      <c r="HS29" s="458">
        <f>IF($M26="","",SUM(HR29+$M26))</f>
        <v>2.02</v>
      </c>
      <c r="HT29" s="327">
        <f>RANK(HS29,HS27:HS30)</f>
        <v>2</v>
      </c>
      <c r="HU29" s="327" t="str">
        <f>IF(HQ29="",HO29,HO29&amp;" ("&amp;HQ29&amp;")")</f>
        <v>Stefan Svensson</v>
      </c>
      <c r="HV29" s="328">
        <v>3</v>
      </c>
      <c r="HW29" s="337" t="str">
        <f>IF(N24="","",VLOOKUP(HV29,HT27:HU30,2,FALSE))</f>
        <v>Daniel Henderson</v>
      </c>
      <c r="HX29" s="1149"/>
      <c r="HY29" s="131" t="str">
        <f>IF($W26="",$S26,$W26)</f>
        <v>Hans Weber</v>
      </c>
      <c r="HZ29" s="327"/>
      <c r="IA29" s="327" t="str">
        <f>IF($AA26="","",$AA26)</f>
        <v/>
      </c>
      <c r="IB29" s="327">
        <v>0.02</v>
      </c>
      <c r="IC29" s="458">
        <f>IF($AB26="","",SUM(IB29+$AB26))</f>
        <v>2.02</v>
      </c>
      <c r="ID29" s="327">
        <f>RANK(IC29,IC27:IC30)</f>
        <v>2</v>
      </c>
      <c r="IE29" s="327" t="str">
        <f>IF(IA29="",HY29,HY29&amp;" ("&amp;IA29&amp;")")</f>
        <v>Hans Weber</v>
      </c>
      <c r="IF29" s="344">
        <v>3</v>
      </c>
      <c r="IG29" s="337" t="str">
        <f>IF(AC24="","",VLOOKUP(IF29,ID27:IE30,2,FALSE))</f>
        <v>Daniel Henderson</v>
      </c>
      <c r="IH29" s="1149"/>
      <c r="II29" s="131" t="str">
        <f>IF($AL26="",$AH26,$AL26)</f>
        <v>Harald Simon</v>
      </c>
      <c r="IJ29" s="327"/>
      <c r="IK29" s="327" t="str">
        <f>IF($AP26="","",$AP26)</f>
        <v/>
      </c>
      <c r="IL29" s="327">
        <v>0.02</v>
      </c>
      <c r="IM29" s="327">
        <f>IF($AQ26="","",SUM(IL29+$AQ26))</f>
        <v>0.02</v>
      </c>
      <c r="IN29" s="327">
        <f>RANK(IM29,IM27:IM30)</f>
        <v>4</v>
      </c>
      <c r="IO29" s="327" t="str">
        <f>IF(IK29="",II29,II29&amp;" ("&amp;IK29&amp;")")</f>
        <v>Harald Simon</v>
      </c>
      <c r="IP29" s="344">
        <v>3</v>
      </c>
      <c r="IQ29" s="337" t="str">
        <f>IF(AR24="","",VLOOKUP(IP29,IN27:IO30,2,FALSE))</f>
        <v>Stefan Pletschacher</v>
      </c>
      <c r="IU29" s="1112"/>
      <c r="IV29" s="698"/>
      <c r="IW29" s="699" t="str">
        <f t="shared" si="71"/>
        <v/>
      </c>
      <c r="IX29" s="700"/>
      <c r="IZ29" s="1112"/>
      <c r="JA29" s="698"/>
      <c r="JB29" s="699" t="str">
        <f t="shared" si="72"/>
        <v/>
      </c>
      <c r="JC29" s="700"/>
      <c r="JE29" s="705"/>
      <c r="JF29" s="705"/>
      <c r="JG29" s="705"/>
      <c r="JH29" s="705"/>
    </row>
    <row r="30" spans="1:268" ht="12.75" customHeight="1" thickBot="1">
      <c r="A30" s="1212"/>
      <c r="B30" s="39">
        <v>5</v>
      </c>
      <c r="C30" s="102">
        <f>R$6</f>
        <v>14</v>
      </c>
      <c r="D30" s="517" t="str">
        <f>S$6</f>
        <v>Antonin Klatovsky</v>
      </c>
      <c r="E30" s="1011"/>
      <c r="F30" s="525" t="str">
        <f t="shared" si="52"/>
        <v/>
      </c>
      <c r="G30" s="1020"/>
      <c r="H30" s="1198" t="str">
        <f t="shared" si="53"/>
        <v/>
      </c>
      <c r="I30" s="1198"/>
      <c r="J30" s="1198"/>
      <c r="K30" s="1198"/>
      <c r="L30" s="508"/>
      <c r="M30" s="146">
        <f>IF(N28="","",IF(N28="w",3,IF(N29="w",2,IF(N30="w",1,IF(N31="w",0,0)))))</f>
        <v>1</v>
      </c>
      <c r="N30" s="707" t="s">
        <v>221</v>
      </c>
      <c r="O30" s="268"/>
      <c r="P30" s="1212"/>
      <c r="Q30" s="39">
        <v>14</v>
      </c>
      <c r="R30" s="102">
        <f>AG$7</f>
        <v>8</v>
      </c>
      <c r="S30" s="517" t="str">
        <f>AH$7</f>
        <v>Stefan Pletschacher</v>
      </c>
      <c r="T30" s="1011"/>
      <c r="U30" s="525" t="str">
        <f t="shared" si="80"/>
        <v/>
      </c>
      <c r="V30" s="1020"/>
      <c r="W30" s="1198" t="str">
        <f t="shared" si="54"/>
        <v/>
      </c>
      <c r="X30" s="1198"/>
      <c r="Y30" s="1198"/>
      <c r="Z30" s="1198"/>
      <c r="AA30" s="508"/>
      <c r="AB30" s="146">
        <f>IF(AC28="","",IF(AC28="w",3,IF(AC29="w",2,IF(AC30="w",1,IF(AC31="w",0,0)))))</f>
        <v>0</v>
      </c>
      <c r="AC30" s="724" t="s">
        <v>222</v>
      </c>
      <c r="AD30" s="269"/>
      <c r="AE30" s="1221"/>
      <c r="AF30" s="1222"/>
      <c r="AG30" s="1222"/>
      <c r="AH30" s="1222"/>
      <c r="AI30" s="1222"/>
      <c r="AJ30" s="1222"/>
      <c r="AK30" s="1222"/>
      <c r="AL30" s="1222"/>
      <c r="AM30" s="1222"/>
      <c r="AN30" s="1222"/>
      <c r="AO30" s="1222"/>
      <c r="AP30" s="1222"/>
      <c r="AQ30" s="1222"/>
      <c r="AR30" s="1223"/>
      <c r="AV30" s="13"/>
      <c r="AW30" s="13"/>
      <c r="AX30" s="13"/>
      <c r="AY30" s="13"/>
      <c r="AZ30" s="13"/>
      <c r="BA30" s="13"/>
      <c r="BB30" s="13"/>
      <c r="BN30" s="8">
        <f>$M30</f>
        <v>1</v>
      </c>
      <c r="BS30" s="8">
        <f>$AB30</f>
        <v>0</v>
      </c>
      <c r="BY30" s="8"/>
      <c r="CA30" s="16"/>
      <c r="CB30" s="13">
        <v>3</v>
      </c>
      <c r="CG30" s="13">
        <v>4</v>
      </c>
      <c r="CH30" s="13" t="str">
        <f t="shared" si="117"/>
        <v>Igor Kononov</v>
      </c>
      <c r="CI30" s="14">
        <f t="shared" si="82"/>
        <v>11</v>
      </c>
      <c r="CU30" s="13">
        <f t="shared" si="118"/>
        <v>12</v>
      </c>
      <c r="CV30" s="13">
        <f t="shared" si="83"/>
        <v>6</v>
      </c>
      <c r="CW30" s="13" t="str">
        <f t="shared" si="83"/>
        <v>Jan Klatovsky</v>
      </c>
      <c r="CX30" s="13">
        <f t="shared" si="83"/>
        <v>1</v>
      </c>
      <c r="CY30" s="13">
        <f t="shared" si="83"/>
        <v>0</v>
      </c>
      <c r="CZ30" s="13">
        <f t="shared" si="83"/>
        <v>0</v>
      </c>
      <c r="DA30" s="13">
        <f t="shared" si="83"/>
        <v>1</v>
      </c>
      <c r="DC30" s="13">
        <f t="shared" si="119"/>
        <v>2</v>
      </c>
      <c r="DD30" s="243">
        <f t="shared" si="84"/>
        <v>0</v>
      </c>
      <c r="DE30" s="236">
        <f t="shared" si="120"/>
        <v>0</v>
      </c>
      <c r="DF30" s="232">
        <f t="shared" si="85"/>
        <v>0</v>
      </c>
      <c r="DG30" s="234">
        <f t="shared" si="121"/>
        <v>0</v>
      </c>
      <c r="DH30" s="232">
        <f t="shared" si="86"/>
        <v>2</v>
      </c>
      <c r="DI30" s="41">
        <f t="shared" si="122"/>
        <v>2.0000000000000001E-4</v>
      </c>
      <c r="DJ30" s="271">
        <f t="shared" si="87"/>
        <v>2</v>
      </c>
      <c r="DK30" s="273">
        <f t="shared" si="88"/>
        <v>2.0000000000000002E-5</v>
      </c>
      <c r="DL30" s="281">
        <f t="shared" si="89"/>
        <v>9.9999999999999995E-7</v>
      </c>
      <c r="DM30" s="238">
        <f t="shared" si="90"/>
        <v>5.4000000000000002E-7</v>
      </c>
      <c r="DN30" s="284">
        <f t="shared" si="91"/>
        <v>2.0002200000000001</v>
      </c>
      <c r="DO30" s="284">
        <f t="shared" si="92"/>
        <v>2.0002210000000002</v>
      </c>
      <c r="DP30" s="284">
        <f t="shared" si="93"/>
        <v>2.0002215400000001</v>
      </c>
      <c r="DQ30" s="597"/>
      <c r="DR30" s="205" t="str">
        <f t="shared" si="123"/>
        <v/>
      </c>
      <c r="DS30" s="4" t="str">
        <f t="shared" si="136"/>
        <v/>
      </c>
      <c r="DT30" s="4" t="str">
        <f t="shared" ref="DT30:DT42" si="138">IF($FO30=$FO$29,$CV6,"")</f>
        <v/>
      </c>
      <c r="DU30" s="208"/>
      <c r="DV30" s="4" t="str">
        <f>IF($FO30=$FO$31,$CV6,"")</f>
        <v/>
      </c>
      <c r="DW30" s="4" t="str">
        <f>IF($FO30=$FO$32,$CV6,"")</f>
        <v/>
      </c>
      <c r="DX30" s="4" t="str">
        <f t="shared" si="94"/>
        <v/>
      </c>
      <c r="DY30" s="4" t="str">
        <f t="shared" si="95"/>
        <v/>
      </c>
      <c r="DZ30" s="4" t="str">
        <f t="shared" si="96"/>
        <v/>
      </c>
      <c r="EA30" s="4" t="str">
        <f t="shared" si="97"/>
        <v/>
      </c>
      <c r="EB30" s="4" t="str">
        <f t="shared" si="98"/>
        <v/>
      </c>
      <c r="EC30" s="4" t="str">
        <f t="shared" si="99"/>
        <v/>
      </c>
      <c r="ED30" s="4" t="str">
        <f t="shared" si="100"/>
        <v/>
      </c>
      <c r="EE30" s="4" t="str">
        <f t="shared" si="101"/>
        <v/>
      </c>
      <c r="EF30" s="4" t="str">
        <f t="shared" si="102"/>
        <v/>
      </c>
      <c r="EG30" s="225" t="str">
        <f t="shared" si="103"/>
        <v/>
      </c>
      <c r="EH30" s="215">
        <f>$R$5</f>
        <v>6</v>
      </c>
      <c r="EI30" s="205" t="str">
        <f>IF(DR$30="","",FT$6)</f>
        <v/>
      </c>
      <c r="EJ30" s="4" t="str">
        <f t="shared" ref="EJ30:EX30" si="139">IF(DS$30="","",FU$6)</f>
        <v/>
      </c>
      <c r="EK30" s="4" t="str">
        <f t="shared" si="139"/>
        <v/>
      </c>
      <c r="EL30" s="208"/>
      <c r="EM30" s="4" t="str">
        <f t="shared" si="139"/>
        <v/>
      </c>
      <c r="EN30" s="4" t="str">
        <f t="shared" si="139"/>
        <v/>
      </c>
      <c r="EO30" s="4" t="str">
        <f t="shared" si="139"/>
        <v/>
      </c>
      <c r="EP30" s="4" t="str">
        <f t="shared" si="139"/>
        <v/>
      </c>
      <c r="EQ30" s="4" t="str">
        <f t="shared" si="139"/>
        <v/>
      </c>
      <c r="ER30" s="4" t="str">
        <f t="shared" si="139"/>
        <v/>
      </c>
      <c r="ES30" s="4" t="str">
        <f t="shared" si="139"/>
        <v/>
      </c>
      <c r="ET30" s="4" t="str">
        <f t="shared" si="139"/>
        <v/>
      </c>
      <c r="EU30" s="4" t="str">
        <f t="shared" si="139"/>
        <v/>
      </c>
      <c r="EV30" s="4" t="str">
        <f t="shared" si="139"/>
        <v/>
      </c>
      <c r="EW30" s="4" t="str">
        <f t="shared" si="139"/>
        <v/>
      </c>
      <c r="EX30" s="225" t="str">
        <f t="shared" si="139"/>
        <v/>
      </c>
      <c r="EY30" s="230">
        <f t="shared" si="125"/>
        <v>0</v>
      </c>
      <c r="EZ30" s="13">
        <f t="shared" si="105"/>
        <v>12</v>
      </c>
      <c r="FA30" s="657">
        <f t="shared" si="106"/>
        <v>6</v>
      </c>
      <c r="FB30" s="654" t="str">
        <f t="shared" si="107"/>
        <v>Jan Klatovsky</v>
      </c>
      <c r="FC30" s="655">
        <f t="shared" si="126"/>
        <v>4</v>
      </c>
      <c r="FD30" s="655">
        <f t="shared" si="127"/>
        <v>0</v>
      </c>
      <c r="FE30" s="655">
        <f t="shared" si="108"/>
        <v>0</v>
      </c>
      <c r="FF30" s="655">
        <f t="shared" si="128"/>
        <v>0</v>
      </c>
      <c r="FG30" s="658">
        <f t="shared" si="109"/>
        <v>0</v>
      </c>
      <c r="FH30" s="656">
        <f t="shared" si="129"/>
        <v>4</v>
      </c>
      <c r="FI30" s="660">
        <f t="shared" si="130"/>
        <v>4.001221000000001</v>
      </c>
      <c r="FJ30" s="663">
        <f t="shared" si="131"/>
        <v>1.2210000000010268E-3</v>
      </c>
      <c r="FK30" s="726">
        <f t="shared" si="132"/>
        <v>0</v>
      </c>
      <c r="FL30" s="726">
        <f t="shared" si="133"/>
        <v>0</v>
      </c>
      <c r="FM30" s="726">
        <f t="shared" si="110"/>
        <v>0</v>
      </c>
      <c r="FN30" s="665">
        <f t="shared" si="134"/>
        <v>0</v>
      </c>
      <c r="FO30" s="665">
        <f t="shared" si="111"/>
        <v>4.001221000000001</v>
      </c>
      <c r="FP30" s="726">
        <f t="shared" si="112"/>
        <v>0</v>
      </c>
      <c r="FQ30" s="316">
        <f t="shared" si="113"/>
        <v>0</v>
      </c>
      <c r="FR30" s="13">
        <f t="shared" si="114"/>
        <v>1</v>
      </c>
      <c r="FS30" s="290">
        <f t="shared" si="135"/>
        <v>0</v>
      </c>
      <c r="FT30" s="1192">
        <f t="shared" si="115"/>
        <v>4.001221000000001</v>
      </c>
      <c r="FU30" s="1192"/>
      <c r="FV30" s="1192"/>
      <c r="FW30" s="1192"/>
      <c r="FX30" s="726">
        <f t="shared" si="116"/>
        <v>5.4000000000000002E-7</v>
      </c>
      <c r="FY30" s="1114">
        <f>IF(FG30=0.000000001,SUM(20+FH30),SUM(FT30:FX30))</f>
        <v>4.0012215400000013</v>
      </c>
      <c r="FZ30" s="1114"/>
      <c r="GA30" s="1114"/>
      <c r="GB30" s="1114"/>
      <c r="GC30" s="1114"/>
      <c r="GK30" s="627">
        <f>AG35</f>
        <v>7</v>
      </c>
      <c r="GL30" s="639">
        <f>IF(AQ35&gt;AQ32,GK30,IF(AQ35&lt;AQ32,GL26,""))</f>
        <v>2</v>
      </c>
      <c r="GM30" s="640">
        <f>IF(AQ35&gt;AQ33,GK30,IF(AQ35&lt;AQ33,GM26,""))</f>
        <v>4</v>
      </c>
      <c r="GN30" s="640">
        <f>IF(AQ35&gt;AQ34,GK30,IF(AQ35&lt;AQ34,GN26,""))</f>
        <v>10</v>
      </c>
      <c r="GO30" s="630" t="s">
        <v>197</v>
      </c>
      <c r="GP30" s="682">
        <f>COUNTIF(GL30:GO30,GK30)</f>
        <v>0</v>
      </c>
      <c r="GW30" s="1144"/>
      <c r="GX30" s="230" t="str">
        <f>IF($N$28="","",IF($IW$30=$GX$3,$IX$30,IF(AND($H$30=$GX$3,$L$30&lt;&gt;""),$L$30,IF(AND($H$30=$GX$3,$L$30=""),$M$30,""))))</f>
        <v/>
      </c>
      <c r="GY30" s="301">
        <v>62</v>
      </c>
      <c r="GZ30" s="5" t="str">
        <f t="shared" si="77"/>
        <v/>
      </c>
      <c r="HA30" s="95" t="str">
        <f t="shared" si="68"/>
        <v/>
      </c>
      <c r="HB30" s="5"/>
      <c r="HC30" s="95" t="str">
        <f t="shared" si="78"/>
        <v/>
      </c>
      <c r="HG30" s="1144"/>
      <c r="HH30" s="230" t="str">
        <f>IF($N$28="","",IF($IW$30=$HH$3,$IX$30,IF(AND($H$30=$HH$3,$L$30&lt;&gt;""),$L$30,IF(AND($H$30=$HH$3,$L$30=""),$M$30,""))))</f>
        <v/>
      </c>
      <c r="HI30" s="301">
        <v>62</v>
      </c>
      <c r="HJ30" s="5" t="str">
        <f t="shared" si="79"/>
        <v/>
      </c>
      <c r="HK30" s="95" t="str">
        <f t="shared" si="69"/>
        <v/>
      </c>
      <c r="HL30" s="5"/>
      <c r="HM30" s="95" t="str">
        <f t="shared" si="70"/>
        <v/>
      </c>
      <c r="HN30" s="1150">
        <v>4</v>
      </c>
      <c r="HO30" s="131" t="str">
        <f>IF($H27="",$D27,$H27)</f>
        <v>Daniel Henderson</v>
      </c>
      <c r="HP30" s="327"/>
      <c r="HQ30" s="327" t="str">
        <f>IF($L27="","",$L27)</f>
        <v/>
      </c>
      <c r="HR30" s="327">
        <v>0.01</v>
      </c>
      <c r="HS30" s="458">
        <f>IF($M27="","",SUM(HR30+$M27))</f>
        <v>1.01</v>
      </c>
      <c r="HT30" s="327">
        <f>RANK(HS30,HS27:HS30)</f>
        <v>3</v>
      </c>
      <c r="HU30" s="327" t="str">
        <f>IF(HQ30="",HO30,HO30&amp;" ("&amp;HQ30&amp;")")</f>
        <v>Daniel Henderson</v>
      </c>
      <c r="HV30" s="328">
        <v>4</v>
      </c>
      <c r="HW30" s="337" t="str">
        <f>IF(N24="","",VLOOKUP(HV30,HT27:HU30,2,FALSE))</f>
        <v>Stefan Pletschacher</v>
      </c>
      <c r="HX30" s="1150">
        <v>12</v>
      </c>
      <c r="HY30" s="131" t="str">
        <f>IF($W27="",$S27,$W27)</f>
        <v>Igor Kononov</v>
      </c>
      <c r="HZ30" s="327"/>
      <c r="IA30" s="327" t="str">
        <f>IF($AA27="","",$AA27)</f>
        <v/>
      </c>
      <c r="IB30" s="327">
        <v>0.01</v>
      </c>
      <c r="IC30" s="458">
        <f>IF($AB27="","",SUM(IB30+$AB27))</f>
        <v>3.01</v>
      </c>
      <c r="ID30" s="327">
        <f>RANK(IC30,IC27:IC30)</f>
        <v>1</v>
      </c>
      <c r="IE30" s="327" t="str">
        <f>IF(IA30="",HY30,HY30&amp;" ("&amp;IA30&amp;")")</f>
        <v>Igor Kononov</v>
      </c>
      <c r="IF30" s="344">
        <v>4</v>
      </c>
      <c r="IG30" s="337" t="str">
        <f>IF(AC24="","",VLOOKUP(IF30,ID27:IE30,2,FALSE))</f>
        <v>Jan Klatovsky</v>
      </c>
      <c r="IH30" s="1150">
        <v>20</v>
      </c>
      <c r="II30" s="131" t="str">
        <f>IF($AL27="",$AH27,$AL27)</f>
        <v>Jan Klatovsky</v>
      </c>
      <c r="IJ30" s="327"/>
      <c r="IK30" s="327" t="str">
        <f>IF($AP27="","",$AP27)</f>
        <v/>
      </c>
      <c r="IL30" s="327">
        <v>0.01</v>
      </c>
      <c r="IM30" s="327">
        <f>IF($AQ27="","",SUM(IL30+$AQ27))</f>
        <v>2.0099999999999998</v>
      </c>
      <c r="IN30" s="327">
        <f>RANK(IM30,IM27:IM30)</f>
        <v>2</v>
      </c>
      <c r="IO30" s="327" t="str">
        <f>IF(IK30="",II30,II30&amp;" ("&amp;IK30&amp;")")</f>
        <v>Jan Klatovsky</v>
      </c>
      <c r="IP30" s="344">
        <v>4</v>
      </c>
      <c r="IQ30" s="337" t="str">
        <f>IF(AR24="","",VLOOKUP(IP30,IN27:IO30,2,FALSE))</f>
        <v>Harald Simon</v>
      </c>
      <c r="IU30" s="1112"/>
      <c r="IV30" s="701"/>
      <c r="IW30" s="699" t="str">
        <f t="shared" si="71"/>
        <v/>
      </c>
      <c r="IX30" s="700"/>
      <c r="IZ30" s="1112"/>
      <c r="JA30" s="701"/>
      <c r="JB30" s="699" t="str">
        <f t="shared" si="72"/>
        <v/>
      </c>
      <c r="JC30" s="700"/>
      <c r="JE30" s="705"/>
      <c r="JF30" s="705"/>
      <c r="JG30" s="705"/>
      <c r="JH30" s="705"/>
    </row>
    <row r="31" spans="1:268" ht="12.75" customHeight="1" thickBot="1">
      <c r="A31" s="918" t="s">
        <v>401</v>
      </c>
      <c r="B31" s="330">
        <v>9</v>
      </c>
      <c r="C31" s="107">
        <f>AG$2</f>
        <v>1</v>
      </c>
      <c r="D31" s="518" t="str">
        <f>AH$2</f>
        <v>Daniil Ivanov</v>
      </c>
      <c r="E31" s="1012"/>
      <c r="F31" s="526" t="str">
        <f t="shared" si="52"/>
        <v/>
      </c>
      <c r="G31" s="1021"/>
      <c r="H31" s="1197" t="str">
        <f t="shared" si="53"/>
        <v/>
      </c>
      <c r="I31" s="1197"/>
      <c r="J31" s="1197"/>
      <c r="K31" s="1197"/>
      <c r="L31" s="509"/>
      <c r="M31" s="149">
        <f>IF(N28="","",IF(N28="y",3,IF(N29="y",2,IF(N30="y",1,IF(N31="y",0,0)))))</f>
        <v>3</v>
      </c>
      <c r="N31" s="708" t="s">
        <v>46</v>
      </c>
      <c r="O31" s="268"/>
      <c r="P31" s="918" t="s">
        <v>413</v>
      </c>
      <c r="Q31" s="330">
        <v>1</v>
      </c>
      <c r="R31" s="107">
        <f>R$2</f>
        <v>9</v>
      </c>
      <c r="S31" s="518" t="str">
        <f>S$2</f>
        <v>Per-Anders Lindstrom</v>
      </c>
      <c r="T31" s="1012"/>
      <c r="U31" s="526" t="str">
        <f t="shared" si="80"/>
        <v/>
      </c>
      <c r="V31" s="1021"/>
      <c r="W31" s="1197" t="str">
        <f t="shared" si="54"/>
        <v/>
      </c>
      <c r="X31" s="1197"/>
      <c r="Y31" s="1197"/>
      <c r="Z31" s="1197"/>
      <c r="AA31" s="509"/>
      <c r="AB31" s="149">
        <f>IF(AC28="","",IF(AC28="y",3,IF(AC29="y",2,IF(AC30="y",1,IF(AC31="y",0,0)))))</f>
        <v>1</v>
      </c>
      <c r="AC31" s="725" t="s">
        <v>221</v>
      </c>
      <c r="AD31" s="269"/>
      <c r="AE31" s="17" t="s">
        <v>1</v>
      </c>
      <c r="AF31" s="18"/>
      <c r="AG31" s="105"/>
      <c r="AH31" s="9" t="s">
        <v>2</v>
      </c>
      <c r="AI31" s="9"/>
      <c r="AJ31" s="9"/>
      <c r="AK31" s="515"/>
      <c r="AL31" s="1224"/>
      <c r="AM31" s="1225"/>
      <c r="AN31" s="1225"/>
      <c r="AO31" s="1226"/>
      <c r="AP31" s="506" t="s">
        <v>50</v>
      </c>
      <c r="AQ31" s="19" t="s">
        <v>0</v>
      </c>
      <c r="AR31" s="267" t="s">
        <v>12</v>
      </c>
      <c r="AV31" s="1068" t="s">
        <v>33</v>
      </c>
      <c r="AW31" s="1069"/>
      <c r="AY31" s="1065" t="s">
        <v>129</v>
      </c>
      <c r="AZ31" s="1066"/>
      <c r="BA31" s="1066"/>
      <c r="BB31" s="1066"/>
      <c r="BC31" s="1066"/>
      <c r="BD31" s="1067"/>
      <c r="BO31" s="8">
        <f>$M31</f>
        <v>3</v>
      </c>
      <c r="BT31" s="8">
        <f>$AB31</f>
        <v>1</v>
      </c>
      <c r="BY31" s="8"/>
      <c r="CA31" s="16"/>
      <c r="CB31" s="13">
        <v>4</v>
      </c>
      <c r="CG31" s="13">
        <v>5</v>
      </c>
      <c r="CH31" s="13" t="str">
        <f t="shared" si="117"/>
        <v>Stefan Svensson</v>
      </c>
      <c r="CI31" s="14">
        <f t="shared" si="82"/>
        <v>8</v>
      </c>
      <c r="CU31" s="13">
        <f t="shared" si="118"/>
        <v>14</v>
      </c>
      <c r="CV31" s="13">
        <f t="shared" si="83"/>
        <v>14</v>
      </c>
      <c r="CW31" s="13" t="str">
        <f t="shared" si="83"/>
        <v>Antonin Klatovsky</v>
      </c>
      <c r="CX31" s="13">
        <f t="shared" si="83"/>
        <v>1</v>
      </c>
      <c r="CY31" s="13">
        <f t="shared" si="83"/>
        <v>1</v>
      </c>
      <c r="CZ31" s="13">
        <f t="shared" si="83"/>
        <v>0</v>
      </c>
      <c r="DA31" s="13">
        <f t="shared" si="83"/>
        <v>0</v>
      </c>
      <c r="DC31" s="13">
        <f t="shared" si="119"/>
        <v>2</v>
      </c>
      <c r="DD31" s="243">
        <f t="shared" si="84"/>
        <v>0</v>
      </c>
      <c r="DE31" s="236">
        <f t="shared" si="120"/>
        <v>0</v>
      </c>
      <c r="DF31" s="232">
        <f t="shared" si="85"/>
        <v>0</v>
      </c>
      <c r="DG31" s="234">
        <f t="shared" si="121"/>
        <v>0</v>
      </c>
      <c r="DH31" s="232">
        <f t="shared" si="86"/>
        <v>2</v>
      </c>
      <c r="DI31" s="41">
        <f t="shared" si="122"/>
        <v>2.0000000000000001E-4</v>
      </c>
      <c r="DJ31" s="271">
        <f t="shared" si="87"/>
        <v>2</v>
      </c>
      <c r="DK31" s="273">
        <f t="shared" si="88"/>
        <v>2.0000000000000002E-5</v>
      </c>
      <c r="DL31" s="281">
        <f t="shared" si="89"/>
        <v>0</v>
      </c>
      <c r="DM31" s="239">
        <f t="shared" si="90"/>
        <v>4.5999999999999999E-7</v>
      </c>
      <c r="DN31" s="285">
        <f t="shared" si="91"/>
        <v>2.0002200000000001</v>
      </c>
      <c r="DO31" s="285">
        <f t="shared" si="92"/>
        <v>2.0002200000000001</v>
      </c>
      <c r="DP31" s="285">
        <f t="shared" si="93"/>
        <v>2.00022046</v>
      </c>
      <c r="DQ31" s="597"/>
      <c r="DR31" s="205" t="str">
        <f t="shared" si="123"/>
        <v/>
      </c>
      <c r="DS31" s="4" t="str">
        <f t="shared" si="136"/>
        <v/>
      </c>
      <c r="DT31" s="4" t="str">
        <f t="shared" si="138"/>
        <v/>
      </c>
      <c r="DU31" s="4" t="str">
        <f t="shared" ref="DU31:DU42" si="140">IF($FO31=$FO$30,$CV7,"")</f>
        <v/>
      </c>
      <c r="DV31" s="208"/>
      <c r="DW31" s="4" t="str">
        <f>IF($FO31=$FO$32,$CV7,"")</f>
        <v/>
      </c>
      <c r="DX31" s="4" t="str">
        <f t="shared" si="94"/>
        <v/>
      </c>
      <c r="DY31" s="4" t="str">
        <f t="shared" si="95"/>
        <v/>
      </c>
      <c r="DZ31" s="4" t="str">
        <f t="shared" si="96"/>
        <v/>
      </c>
      <c r="EA31" s="4" t="str">
        <f t="shared" si="97"/>
        <v/>
      </c>
      <c r="EB31" s="4" t="str">
        <f t="shared" si="98"/>
        <v/>
      </c>
      <c r="EC31" s="4" t="str">
        <f t="shared" si="99"/>
        <v/>
      </c>
      <c r="ED31" s="4" t="str">
        <f t="shared" si="100"/>
        <v/>
      </c>
      <c r="EE31" s="4" t="str">
        <f t="shared" si="101"/>
        <v/>
      </c>
      <c r="EF31" s="4" t="str">
        <f t="shared" si="102"/>
        <v/>
      </c>
      <c r="EG31" s="225" t="str">
        <f t="shared" si="103"/>
        <v/>
      </c>
      <c r="EH31" s="215">
        <f>$R$6</f>
        <v>14</v>
      </c>
      <c r="EI31" s="205" t="str">
        <f>IF(DR$31="","",FT$7)</f>
        <v/>
      </c>
      <c r="EJ31" s="4" t="str">
        <f t="shared" ref="EJ31:EX31" si="141">IF(DS$31="","",FU$7)</f>
        <v/>
      </c>
      <c r="EK31" s="4" t="str">
        <f t="shared" si="141"/>
        <v/>
      </c>
      <c r="EL31" s="4" t="str">
        <f t="shared" si="141"/>
        <v/>
      </c>
      <c r="EM31" s="208"/>
      <c r="EN31" s="4" t="str">
        <f t="shared" si="141"/>
        <v/>
      </c>
      <c r="EO31" s="4" t="str">
        <f t="shared" si="141"/>
        <v/>
      </c>
      <c r="EP31" s="4" t="str">
        <f t="shared" si="141"/>
        <v/>
      </c>
      <c r="EQ31" s="4" t="str">
        <f t="shared" si="141"/>
        <v/>
      </c>
      <c r="ER31" s="4" t="str">
        <f t="shared" si="141"/>
        <v/>
      </c>
      <c r="ES31" s="4" t="str">
        <f t="shared" si="141"/>
        <v/>
      </c>
      <c r="ET31" s="4" t="str">
        <f t="shared" si="141"/>
        <v/>
      </c>
      <c r="EU31" s="4" t="str">
        <f t="shared" si="141"/>
        <v/>
      </c>
      <c r="EV31" s="4" t="str">
        <f t="shared" si="141"/>
        <v/>
      </c>
      <c r="EW31" s="4" t="str">
        <f t="shared" si="141"/>
        <v/>
      </c>
      <c r="EX31" s="225" t="str">
        <f t="shared" si="141"/>
        <v/>
      </c>
      <c r="EY31" s="230">
        <f t="shared" si="125"/>
        <v>0</v>
      </c>
      <c r="EZ31" s="13">
        <f t="shared" si="105"/>
        <v>10</v>
      </c>
      <c r="FA31" s="673">
        <f t="shared" si="106"/>
        <v>14</v>
      </c>
      <c r="FB31" s="666" t="str">
        <f t="shared" si="107"/>
        <v>Antonin Klatovsky</v>
      </c>
      <c r="FC31" s="667">
        <f t="shared" si="126"/>
        <v>5</v>
      </c>
      <c r="FD31" s="667">
        <f t="shared" si="127"/>
        <v>0</v>
      </c>
      <c r="FE31" s="667">
        <f t="shared" si="108"/>
        <v>0</v>
      </c>
      <c r="FF31" s="667">
        <f t="shared" si="128"/>
        <v>0</v>
      </c>
      <c r="FG31" s="668">
        <f t="shared" si="109"/>
        <v>0</v>
      </c>
      <c r="FH31" s="669">
        <f t="shared" si="129"/>
        <v>5</v>
      </c>
      <c r="FI31" s="670">
        <f t="shared" si="130"/>
        <v>5.0102200000000003</v>
      </c>
      <c r="FJ31" s="671">
        <f t="shared" si="131"/>
        <v>1.022000000000034E-2</v>
      </c>
      <c r="FK31" s="672">
        <f t="shared" si="132"/>
        <v>0</v>
      </c>
      <c r="FL31" s="672">
        <f t="shared" si="133"/>
        <v>0</v>
      </c>
      <c r="FM31" s="672">
        <f t="shared" si="110"/>
        <v>0</v>
      </c>
      <c r="FN31" s="674">
        <f t="shared" si="134"/>
        <v>0</v>
      </c>
      <c r="FO31" s="674">
        <f t="shared" si="111"/>
        <v>5.0102200000000003</v>
      </c>
      <c r="FP31" s="672">
        <f t="shared" si="112"/>
        <v>0</v>
      </c>
      <c r="FQ31" s="685">
        <f t="shared" si="113"/>
        <v>0</v>
      </c>
      <c r="FR31" s="58">
        <f t="shared" si="114"/>
        <v>1</v>
      </c>
      <c r="FS31" s="289">
        <f t="shared" si="135"/>
        <v>0</v>
      </c>
      <c r="FT31" s="1196">
        <f t="shared" si="115"/>
        <v>5.0102200000000003</v>
      </c>
      <c r="FU31" s="1196"/>
      <c r="FV31" s="1196"/>
      <c r="FW31" s="1196"/>
      <c r="FX31" s="672">
        <f t="shared" si="116"/>
        <v>4.5999999999999999E-7</v>
      </c>
      <c r="FY31" s="1193">
        <f>IF(FG31=0.000000001,SUM(20+FH31),SUM(FT31:FX31))</f>
        <v>5.0102204600000002</v>
      </c>
      <c r="FZ31" s="1193"/>
      <c r="GA31" s="1193"/>
      <c r="GB31" s="1193"/>
      <c r="GC31" s="1193"/>
      <c r="GJ31" s="290"/>
      <c r="GK31" s="683"/>
      <c r="GL31" s="650">
        <f>$GK32</f>
        <v>3</v>
      </c>
      <c r="GM31" s="651">
        <f>$GK33</f>
        <v>1</v>
      </c>
      <c r="GN31" s="651">
        <f>$GK34</f>
        <v>11</v>
      </c>
      <c r="GO31" s="652">
        <f>$GK35</f>
        <v>5</v>
      </c>
      <c r="GP31" s="681"/>
      <c r="GW31" s="1145"/>
      <c r="GX31" s="231" t="str">
        <f>IF($N$28="","",IF($IW$31=$GX$3,$IX$31,IF(AND($H$31=$GX$3,$L$31&lt;&gt;""),$L$31,IF(AND($H$31=$GX$3,$L$31=""),$M$31,""))))</f>
        <v/>
      </c>
      <c r="GY31" s="302">
        <v>61</v>
      </c>
      <c r="GZ31" s="303" t="str">
        <f t="shared" si="77"/>
        <v/>
      </c>
      <c r="HA31" s="98" t="str">
        <f t="shared" si="68"/>
        <v/>
      </c>
      <c r="HB31" s="303"/>
      <c r="HC31" s="98" t="str">
        <f t="shared" si="78"/>
        <v/>
      </c>
      <c r="HG31" s="1145"/>
      <c r="HH31" s="231" t="str">
        <f>IF($N$28="","",IF($IW$31=$HH$3,$IX$31,IF(AND($H$31=$HH$3,$L$31&lt;&gt;""),$L$31,IF(AND($H$31=$HH$3,$L$31=""),$M$31,""))))</f>
        <v/>
      </c>
      <c r="HI31" s="302">
        <v>61</v>
      </c>
      <c r="HJ31" s="303" t="str">
        <f t="shared" si="79"/>
        <v/>
      </c>
      <c r="HK31" s="98" t="str">
        <f t="shared" si="69"/>
        <v/>
      </c>
      <c r="HL31" s="303"/>
      <c r="HM31" s="98" t="str">
        <f t="shared" si="70"/>
        <v/>
      </c>
      <c r="HN31" s="348" t="str">
        <f>IF($A27="","",$A27)</f>
        <v>58,81</v>
      </c>
      <c r="HO31" s="132" t="str">
        <f>IF($H24&lt;&gt;"",$D24,IF($H25&lt;&gt;"",$D25,IF($H26&lt;&gt;"",$D26,IF($H27&lt;&gt;"",$D27,""))))</f>
        <v/>
      </c>
      <c r="HP31" s="338" t="str">
        <f>IF(HO31="","",VLOOKUP($HO31,$CW$3:$DB$18,2,FALSE))</f>
        <v/>
      </c>
      <c r="HQ31" s="338"/>
      <c r="HR31" s="338"/>
      <c r="HS31" s="338">
        <v>5</v>
      </c>
      <c r="HT31" s="338"/>
      <c r="HU31" s="132" t="str">
        <f>IF(HO31="","",HO31&amp;" ("&amp;HP31&amp;")")</f>
        <v/>
      </c>
      <c r="HV31" s="349">
        <v>5</v>
      </c>
      <c r="HW31" s="339" t="str">
        <f>IF(HU31="","",HU31)</f>
        <v/>
      </c>
      <c r="HX31" s="348" t="str">
        <f>IF($P27="","",$P27)</f>
        <v>63,19</v>
      </c>
      <c r="HY31" s="132" t="str">
        <f>IF($W24&lt;&gt;"",$S24,IF($W25&lt;&gt;"",$S25,IF($W26&lt;&gt;"",$S26,IF($W27&lt;&gt;"",$S27,""))))</f>
        <v/>
      </c>
      <c r="HZ31" s="338" t="str">
        <f>IF(HY31="","",VLOOKUP($HY31,$CW$3:$DB$18,4,FALSE))</f>
        <v/>
      </c>
      <c r="IA31" s="338"/>
      <c r="IB31" s="338"/>
      <c r="IC31" s="338">
        <v>5</v>
      </c>
      <c r="ID31" s="338"/>
      <c r="IE31" s="132" t="str">
        <f>IF(HY31="","",HY31&amp;" ("&amp;HZ31&amp;")")</f>
        <v/>
      </c>
      <c r="IF31" s="351">
        <v>5</v>
      </c>
      <c r="IG31" s="339" t="str">
        <f>IF(IE31="","",IE31)</f>
        <v/>
      </c>
      <c r="IH31" s="348" t="str">
        <f>IF($AE27="","",$AE27)</f>
        <v>65,00</v>
      </c>
      <c r="II31" s="132" t="str">
        <f>IF($AL24&lt;&gt;"",$AH24,IF($AL25&lt;&gt;"",$AH25,IF($AL26&lt;&gt;"",$AH26,IF($AL27&lt;&gt;"",$AH27,""))))</f>
        <v/>
      </c>
      <c r="IJ31" s="338" t="str">
        <f>IF(II31="","",VLOOKUP($II31,$CW$3:$DB$18,6,FALSE))</f>
        <v/>
      </c>
      <c r="IK31" s="338"/>
      <c r="IL31" s="338"/>
      <c r="IM31" s="338">
        <v>5</v>
      </c>
      <c r="IN31" s="338"/>
      <c r="IO31" s="132" t="str">
        <f>IF(II31="","",II31&amp;" ("&amp;IJ31&amp;")")</f>
        <v/>
      </c>
      <c r="IP31" s="351">
        <v>5</v>
      </c>
      <c r="IQ31" s="339" t="str">
        <f>IF(IO31="","",IO31)</f>
        <v/>
      </c>
      <c r="IU31" s="1113"/>
      <c r="IV31" s="702"/>
      <c r="IW31" s="703" t="str">
        <f t="shared" si="71"/>
        <v/>
      </c>
      <c r="IX31" s="704"/>
      <c r="IZ31" s="1113"/>
      <c r="JA31" s="702"/>
      <c r="JB31" s="703" t="str">
        <f t="shared" si="72"/>
        <v/>
      </c>
      <c r="JC31" s="704"/>
      <c r="JE31" s="705"/>
      <c r="JF31" s="705"/>
      <c r="JG31" s="705"/>
      <c r="JH31" s="705"/>
    </row>
    <row r="32" spans="1:268" ht="12.75" customHeight="1">
      <c r="A32" s="1211">
        <v>6</v>
      </c>
      <c r="B32" s="329">
        <v>14</v>
      </c>
      <c r="C32" s="106">
        <f>AG$7</f>
        <v>8</v>
      </c>
      <c r="D32" s="516" t="str">
        <f>AH$7</f>
        <v>Stefan Pletschacher</v>
      </c>
      <c r="E32" s="1010"/>
      <c r="F32" s="524" t="str">
        <f t="shared" si="52"/>
        <v/>
      </c>
      <c r="G32" s="1018"/>
      <c r="H32" s="1210" t="str">
        <f t="shared" si="53"/>
        <v/>
      </c>
      <c r="I32" s="1210"/>
      <c r="J32" s="1210"/>
      <c r="K32" s="1210"/>
      <c r="L32" s="510"/>
      <c r="M32" s="93">
        <f>IF(N32="","",IF(N32="R",3,IF(N33="R",2,IF(N34="R",1,IF(N35="R",0,0)))))</f>
        <v>1</v>
      </c>
      <c r="N32" s="706" t="s">
        <v>221</v>
      </c>
      <c r="O32" s="268"/>
      <c r="P32" s="1211">
        <v>14</v>
      </c>
      <c r="Q32" s="329">
        <v>2</v>
      </c>
      <c r="R32" s="106">
        <f>R$3</f>
        <v>3</v>
      </c>
      <c r="S32" s="516" t="str">
        <f>S$3</f>
        <v>Dimitry Khomitsevich</v>
      </c>
      <c r="T32" s="1010"/>
      <c r="U32" s="524" t="str">
        <f t="shared" si="80"/>
        <v/>
      </c>
      <c r="V32" s="1018"/>
      <c r="W32" s="1210" t="str">
        <f t="shared" si="54"/>
        <v/>
      </c>
      <c r="X32" s="1210"/>
      <c r="Y32" s="1210"/>
      <c r="Z32" s="1210"/>
      <c r="AA32" s="510"/>
      <c r="AB32" s="93">
        <f>IF(AC32="","",IF(AC32="R",3,IF(AC33="R",2,IF(AC34="R",1,IF(AC35="R",0,0)))))</f>
        <v>3</v>
      </c>
      <c r="AC32" s="723" t="s">
        <v>12</v>
      </c>
      <c r="AD32" s="269"/>
      <c r="AE32" s="1216" t="s">
        <v>61</v>
      </c>
      <c r="AF32" s="106"/>
      <c r="AG32" s="106">
        <f t="shared" ref="AG32:AG43" si="142">IF(AH32="","",SUMIF($CW$3:$CW$20,AH32,$CV$3:$CV$20))</f>
        <v>2</v>
      </c>
      <c r="AH32" s="516" t="str">
        <f>IF(AW32="R",AV32,IF(AW33="R",AV33,IF(AW34="R",AV34,IF(AW35="R",AV35,""))))</f>
        <v>Dimitry Koltakov</v>
      </c>
      <c r="AI32" s="521"/>
      <c r="AJ32" s="521"/>
      <c r="AK32" s="530"/>
      <c r="AL32" s="1214"/>
      <c r="AM32" s="1214"/>
      <c r="AN32" s="1214"/>
      <c r="AO32" s="1214"/>
      <c r="AP32" s="507"/>
      <c r="AQ32" s="93">
        <f>IF(AR32="","",IF(AR32="R",3,IF(AR33="R",2,IF(AR34="R",1,IF(AR35="R",0,0)))))</f>
        <v>3</v>
      </c>
      <c r="AR32" s="723" t="s">
        <v>12</v>
      </c>
      <c r="AS32" s="269"/>
      <c r="AT32" s="290"/>
      <c r="AU32" s="290"/>
      <c r="AV32" s="453" t="str">
        <f>IF(AQ$27="","",IF(AY32&lt;&gt;"",AZ32,AV12))</f>
        <v>Dimitry Koltakov</v>
      </c>
      <c r="AW32" s="723" t="s">
        <v>12</v>
      </c>
      <c r="AX32" s="268"/>
      <c r="AY32" s="928"/>
      <c r="AZ32" s="1087" t="str">
        <f t="shared" ref="AZ32:AZ41" si="143">IF(AY32="","",VLOOKUP(AY32,$CV$3:$CW$20,2,FALSE))</f>
        <v/>
      </c>
      <c r="BA32" s="1088"/>
      <c r="BB32" s="1088"/>
      <c r="BC32" s="1088"/>
      <c r="BD32" s="1089"/>
      <c r="BL32" s="8">
        <f>$M32</f>
        <v>1</v>
      </c>
      <c r="BQ32" s="8">
        <f>$AB32</f>
        <v>3</v>
      </c>
      <c r="BV32" s="8">
        <f>$AQ32</f>
        <v>3</v>
      </c>
      <c r="BY32" s="8"/>
      <c r="CA32" s="16">
        <f>MAX(CA12:CA27)</f>
        <v>15</v>
      </c>
      <c r="CB32" s="13">
        <v>1</v>
      </c>
      <c r="CG32" s="13">
        <v>6</v>
      </c>
      <c r="CH32" s="13" t="str">
        <f t="shared" si="117"/>
        <v>Franz Zorn</v>
      </c>
      <c r="CI32" s="14">
        <f t="shared" si="82"/>
        <v>8</v>
      </c>
      <c r="CU32" s="13">
        <f t="shared" si="118"/>
        <v>17</v>
      </c>
      <c r="CV32" s="13">
        <f t="shared" si="83"/>
        <v>16</v>
      </c>
      <c r="CW32" s="13" t="str">
        <f t="shared" si="83"/>
        <v>Rene Stellingwerf</v>
      </c>
      <c r="CX32" s="13" t="str">
        <f t="shared" si="83"/>
        <v>N</v>
      </c>
      <c r="CY32" s="13" t="str">
        <f t="shared" si="83"/>
        <v>N</v>
      </c>
      <c r="CZ32" s="13" t="str">
        <f t="shared" si="83"/>
        <v>N</v>
      </c>
      <c r="DA32" s="13" t="str">
        <f t="shared" si="83"/>
        <v>N</v>
      </c>
      <c r="DC32" s="13">
        <f t="shared" si="119"/>
        <v>0</v>
      </c>
      <c r="DD32" s="243">
        <f t="shared" si="84"/>
        <v>0</v>
      </c>
      <c r="DE32" s="236">
        <f t="shared" si="120"/>
        <v>0</v>
      </c>
      <c r="DF32" s="232">
        <f t="shared" si="85"/>
        <v>0</v>
      </c>
      <c r="DG32" s="234">
        <f t="shared" si="121"/>
        <v>0</v>
      </c>
      <c r="DH32" s="232">
        <f t="shared" si="86"/>
        <v>0</v>
      </c>
      <c r="DI32" s="41">
        <f t="shared" si="122"/>
        <v>0</v>
      </c>
      <c r="DJ32" s="271">
        <f t="shared" si="87"/>
        <v>0</v>
      </c>
      <c r="DK32" s="273">
        <f t="shared" si="88"/>
        <v>0</v>
      </c>
      <c r="DL32" s="281">
        <f t="shared" si="89"/>
        <v>0</v>
      </c>
      <c r="DM32" s="238">
        <f t="shared" si="90"/>
        <v>4.4000000000000002E-7</v>
      </c>
      <c r="DN32" s="284">
        <f t="shared" si="91"/>
        <v>0</v>
      </c>
      <c r="DO32" s="284">
        <f t="shared" si="92"/>
        <v>0</v>
      </c>
      <c r="DP32" s="284">
        <f t="shared" si="93"/>
        <v>4.4000000000000002E-7</v>
      </c>
      <c r="DQ32" s="597"/>
      <c r="DR32" s="205" t="str">
        <f t="shared" si="123"/>
        <v/>
      </c>
      <c r="DS32" s="4" t="str">
        <f t="shared" si="136"/>
        <v/>
      </c>
      <c r="DT32" s="4" t="str">
        <f t="shared" si="138"/>
        <v/>
      </c>
      <c r="DU32" s="4" t="str">
        <f t="shared" si="140"/>
        <v/>
      </c>
      <c r="DV32" s="4" t="str">
        <f t="shared" ref="DV32:DV42" si="144">IF($FO32=$FO$31,$CV8,"")</f>
        <v/>
      </c>
      <c r="DW32" s="208"/>
      <c r="DX32" s="4" t="str">
        <f t="shared" si="94"/>
        <v/>
      </c>
      <c r="DY32" s="4" t="str">
        <f t="shared" si="95"/>
        <v/>
      </c>
      <c r="DZ32" s="4" t="str">
        <f t="shared" si="96"/>
        <v/>
      </c>
      <c r="EA32" s="4" t="str">
        <f t="shared" si="97"/>
        <v/>
      </c>
      <c r="EB32" s="4" t="str">
        <f t="shared" si="98"/>
        <v/>
      </c>
      <c r="EC32" s="4" t="str">
        <f t="shared" si="99"/>
        <v/>
      </c>
      <c r="ED32" s="4" t="str">
        <f t="shared" si="100"/>
        <v/>
      </c>
      <c r="EE32" s="4" t="str">
        <f t="shared" si="101"/>
        <v/>
      </c>
      <c r="EF32" s="4" t="str">
        <f t="shared" si="102"/>
        <v/>
      </c>
      <c r="EG32" s="225" t="str">
        <f t="shared" si="103"/>
        <v/>
      </c>
      <c r="EH32" s="215">
        <f>$R$7</f>
        <v>16</v>
      </c>
      <c r="EI32" s="205" t="str">
        <f>IF(DR$32="","",FT$8)</f>
        <v/>
      </c>
      <c r="EJ32" s="4" t="str">
        <f t="shared" ref="EJ32:EX32" si="145">IF(DS$32="","",FU$8)</f>
        <v/>
      </c>
      <c r="EK32" s="4" t="str">
        <f t="shared" si="145"/>
        <v/>
      </c>
      <c r="EL32" s="4" t="str">
        <f t="shared" si="145"/>
        <v/>
      </c>
      <c r="EM32" s="4" t="str">
        <f t="shared" si="145"/>
        <v/>
      </c>
      <c r="EN32" s="208"/>
      <c r="EO32" s="4" t="str">
        <f t="shared" si="145"/>
        <v/>
      </c>
      <c r="EP32" s="4" t="str">
        <f t="shared" si="145"/>
        <v/>
      </c>
      <c r="EQ32" s="4" t="str">
        <f t="shared" si="145"/>
        <v/>
      </c>
      <c r="ER32" s="4" t="str">
        <f t="shared" si="145"/>
        <v/>
      </c>
      <c r="ES32" s="4" t="str">
        <f t="shared" si="145"/>
        <v/>
      </c>
      <c r="ET32" s="4" t="str">
        <f t="shared" si="145"/>
        <v/>
      </c>
      <c r="EU32" s="4" t="str">
        <f t="shared" si="145"/>
        <v/>
      </c>
      <c r="EV32" s="4" t="str">
        <f t="shared" si="145"/>
        <v/>
      </c>
      <c r="EW32" s="4" t="str">
        <f t="shared" si="145"/>
        <v/>
      </c>
      <c r="EX32" s="225" t="str">
        <f t="shared" si="145"/>
        <v/>
      </c>
      <c r="EY32" s="230">
        <f t="shared" si="125"/>
        <v>0</v>
      </c>
      <c r="EZ32" s="13">
        <f t="shared" si="105"/>
        <v>17</v>
      </c>
      <c r="FA32" s="657">
        <f t="shared" si="106"/>
        <v>16</v>
      </c>
      <c r="FB32" s="654" t="str">
        <f t="shared" si="107"/>
        <v>Rene Stellingwerf</v>
      </c>
      <c r="FC32" s="655">
        <f t="shared" si="126"/>
        <v>0</v>
      </c>
      <c r="FD32" s="655">
        <f t="shared" si="127"/>
        <v>0</v>
      </c>
      <c r="FE32" s="655">
        <f t="shared" si="108"/>
        <v>0</v>
      </c>
      <c r="FF32" s="655">
        <f t="shared" si="128"/>
        <v>0</v>
      </c>
      <c r="FG32" s="658">
        <f t="shared" si="109"/>
        <v>0</v>
      </c>
      <c r="FH32" s="656">
        <f t="shared" si="129"/>
        <v>0</v>
      </c>
      <c r="FI32" s="660">
        <f t="shared" si="130"/>
        <v>0</v>
      </c>
      <c r="FJ32" s="663">
        <f t="shared" si="131"/>
        <v>0</v>
      </c>
      <c r="FK32" s="726">
        <f t="shared" si="132"/>
        <v>0</v>
      </c>
      <c r="FL32" s="726">
        <f t="shared" si="133"/>
        <v>0</v>
      </c>
      <c r="FM32" s="726">
        <f t="shared" si="110"/>
        <v>0</v>
      </c>
      <c r="FN32" s="665">
        <f t="shared" si="134"/>
        <v>0</v>
      </c>
      <c r="FO32" s="665">
        <f t="shared" si="111"/>
        <v>0</v>
      </c>
      <c r="FP32" s="726">
        <f t="shared" si="112"/>
        <v>0</v>
      </c>
      <c r="FQ32" s="316">
        <f t="shared" si="113"/>
        <v>0</v>
      </c>
      <c r="FR32" s="13">
        <f t="shared" si="114"/>
        <v>2</v>
      </c>
      <c r="FS32" s="290">
        <f t="shared" si="135"/>
        <v>0</v>
      </c>
      <c r="FT32" s="1192">
        <f t="shared" si="115"/>
        <v>0</v>
      </c>
      <c r="FU32" s="1192"/>
      <c r="FV32" s="1192"/>
      <c r="FW32" s="1192"/>
      <c r="FX32" s="726">
        <f t="shared" si="116"/>
        <v>4.4000000000000002E-7</v>
      </c>
      <c r="FY32" s="1114">
        <f t="shared" ref="FY32:FY44" si="146">IF(FG32=0.000000001,SUM(20+FH32),SUM(FT32:FX32))</f>
        <v>4.4000000000000002E-7</v>
      </c>
      <c r="FZ32" s="1114"/>
      <c r="GA32" s="1114"/>
      <c r="GB32" s="1114"/>
      <c r="GC32" s="1114"/>
      <c r="GJ32" s="290"/>
      <c r="GK32" s="625">
        <f>AG36</f>
        <v>3</v>
      </c>
      <c r="GL32" s="629" t="s">
        <v>197</v>
      </c>
      <c r="GM32" s="637">
        <f>IF(AQ36&gt;AQ37,GK32,IF(AQ36&lt;AQ37,GM31,""))</f>
        <v>3</v>
      </c>
      <c r="GN32" s="637">
        <f>IF(AQ36&gt;AQ38,GK32,IF(AQ36&lt;AQ38,GN31,""))</f>
        <v>3</v>
      </c>
      <c r="GO32" s="638">
        <f>IF(AQ36&gt;AQ39,GK32,IF(AQ36&lt;AQ39,GO31,""))</f>
        <v>3</v>
      </c>
      <c r="GP32" s="681">
        <f>COUNTIF(GL32:GO32,GK32)</f>
        <v>3</v>
      </c>
      <c r="GW32" s="1143">
        <v>6</v>
      </c>
      <c r="GX32" s="229" t="str">
        <f>IF($N$32="","",IF($IW$32=$GX$3,$IX$32,IF(AND($H$32=$GX$3,$L$32&lt;&gt;""),$L$32,IF(AND($H$32=$GX$3,$L$32=""),$M$32,""))))</f>
        <v/>
      </c>
      <c r="GY32" s="299">
        <v>60</v>
      </c>
      <c r="GZ32" s="300" t="str">
        <f t="shared" si="77"/>
        <v/>
      </c>
      <c r="HA32" s="93" t="str">
        <f t="shared" si="68"/>
        <v/>
      </c>
      <c r="HB32" s="300"/>
      <c r="HC32" s="93" t="str">
        <f t="shared" si="78"/>
        <v/>
      </c>
      <c r="HG32" s="1143">
        <v>6</v>
      </c>
      <c r="HH32" s="229" t="str">
        <f>IF($N$32="","",IF($IW$32=$HH$3,$IX$32,IF(AND($H$32=$HH$3,$L$32&lt;&gt;""),$L$32,IF(AND($H$32=$HH$3,$L$32=""),$M$32,""))))</f>
        <v/>
      </c>
      <c r="HI32" s="299">
        <v>60</v>
      </c>
      <c r="HJ32" s="300" t="str">
        <f t="shared" si="79"/>
        <v/>
      </c>
      <c r="HK32" s="93" t="str">
        <f t="shared" si="69"/>
        <v/>
      </c>
      <c r="HL32" s="300"/>
      <c r="HM32" s="93" t="str">
        <f t="shared" si="70"/>
        <v/>
      </c>
      <c r="HN32" s="1148">
        <v>5</v>
      </c>
      <c r="HO32" s="346" t="str">
        <f>IF($H28="",$D28,$H28)</f>
        <v>Daniel Henderson</v>
      </c>
      <c r="HP32" s="335"/>
      <c r="HQ32" s="335" t="str">
        <f>IF($L28="","",$L28)</f>
        <v/>
      </c>
      <c r="HR32" s="335">
        <v>0.04</v>
      </c>
      <c r="HS32" s="456">
        <f>IF($M28="","",SUM(HR32+$M28))</f>
        <v>2.04</v>
      </c>
      <c r="HT32" s="457">
        <f>RANK(HS32,HS32:HS35)</f>
        <v>2</v>
      </c>
      <c r="HU32" s="335" t="str">
        <f>IF(HQ32="",HO32,HO32&amp;" ("&amp;HQ32&amp;")")</f>
        <v>Daniel Henderson</v>
      </c>
      <c r="HV32" s="347">
        <v>1</v>
      </c>
      <c r="HW32" s="336" t="str">
        <f>IF(N28="","",VLOOKUP(HV32,HT32:HU35,2,FALSE))</f>
        <v>Daniil Ivanov</v>
      </c>
      <c r="HX32" s="1148">
        <v>13</v>
      </c>
      <c r="HY32" s="346" t="str">
        <f>IF($W28="",$S28,$W28)</f>
        <v>Igor Kononov</v>
      </c>
      <c r="HZ32" s="335"/>
      <c r="IA32" s="335" t="str">
        <f>IF($AA28="","",$AA28)</f>
        <v/>
      </c>
      <c r="IB32" s="335">
        <v>0.04</v>
      </c>
      <c r="IC32" s="456">
        <f>IF($AB28="","",SUM(IB32+$AB28))</f>
        <v>3.04</v>
      </c>
      <c r="ID32" s="457">
        <f>RANK(IC32,IC32:IC35)</f>
        <v>1</v>
      </c>
      <c r="IE32" s="335" t="str">
        <f>IF(IA32="",HY32,HY32&amp;" ("&amp;IA32&amp;")")</f>
        <v>Igor Kononov</v>
      </c>
      <c r="IF32" s="350">
        <v>1</v>
      </c>
      <c r="IG32" s="336" t="str">
        <f>IF(AC28="","",VLOOKUP(IF32,ID32:IE35,2,FALSE))</f>
        <v>Igor Kononov</v>
      </c>
      <c r="IH32"/>
      <c r="II32"/>
      <c r="IJ32"/>
      <c r="IK32"/>
      <c r="IL32"/>
      <c r="IM32"/>
      <c r="IN32"/>
      <c r="IO32"/>
      <c r="IP32"/>
      <c r="IQ32"/>
      <c r="IR32"/>
      <c r="IU32" s="1111">
        <v>6</v>
      </c>
      <c r="IV32" s="695"/>
      <c r="IW32" s="696" t="str">
        <f t="shared" si="71"/>
        <v/>
      </c>
      <c r="IX32" s="697"/>
      <c r="IZ32" s="1111">
        <v>14</v>
      </c>
      <c r="JA32" s="695"/>
      <c r="JB32" s="696" t="str">
        <f t="shared" si="72"/>
        <v/>
      </c>
      <c r="JC32" s="697"/>
      <c r="JE32" s="705"/>
      <c r="JF32" s="705"/>
      <c r="JG32" s="705"/>
      <c r="JH32" s="705"/>
    </row>
    <row r="33" spans="1:268" ht="12.75" customHeight="1">
      <c r="A33" s="1212"/>
      <c r="B33" s="39">
        <v>10</v>
      </c>
      <c r="C33" s="101">
        <f>AG$3</f>
        <v>12</v>
      </c>
      <c r="D33" s="517" t="str">
        <f>AH$3</f>
        <v>Hans Weber</v>
      </c>
      <c r="E33" s="1011"/>
      <c r="F33" s="525" t="str">
        <f t="shared" si="52"/>
        <v/>
      </c>
      <c r="G33" s="1019"/>
      <c r="H33" s="1198" t="str">
        <f t="shared" si="53"/>
        <v/>
      </c>
      <c r="I33" s="1198"/>
      <c r="J33" s="1198"/>
      <c r="K33" s="1198"/>
      <c r="L33" s="508"/>
      <c r="M33" s="146">
        <f>IF(N32="","",IF(N32="B",3,IF(N33="B",2,IF(N34="B",1,IF(N35="B",0,0)))))</f>
        <v>2</v>
      </c>
      <c r="N33" s="707" t="s">
        <v>46</v>
      </c>
      <c r="O33" s="268"/>
      <c r="P33" s="1212"/>
      <c r="Q33" s="39">
        <v>13</v>
      </c>
      <c r="R33" s="101">
        <f>AG$6</f>
        <v>19</v>
      </c>
      <c r="S33" s="517" t="str">
        <f>AH$6</f>
        <v>Daniel Henderson</v>
      </c>
      <c r="T33" s="1011"/>
      <c r="U33" s="525" t="str">
        <f t="shared" si="80"/>
        <v/>
      </c>
      <c r="V33" s="1019"/>
      <c r="W33" s="1198" t="str">
        <f t="shared" si="54"/>
        <v/>
      </c>
      <c r="X33" s="1198"/>
      <c r="Y33" s="1198"/>
      <c r="Z33" s="1198"/>
      <c r="AA33" s="508"/>
      <c r="AB33" s="146">
        <f>IF(AC32="","",IF(AC32="B",3,IF(AC33="B",2,IF(AC34="B",1,IF(AC35="B",0,0)))))</f>
        <v>0</v>
      </c>
      <c r="AC33" s="724" t="s">
        <v>221</v>
      </c>
      <c r="AD33" s="269"/>
      <c r="AE33" s="1217"/>
      <c r="AF33" s="101"/>
      <c r="AG33" s="101">
        <f t="shared" si="142"/>
        <v>4</v>
      </c>
      <c r="AH33" s="517" t="str">
        <f>IF(AW32="B",AV32,IF(AW33="B",AV33,IF(AW34="B",AV34,IF(AW35="B",AV35,""))))</f>
        <v>Igor Kononov</v>
      </c>
      <c r="AI33" s="522"/>
      <c r="AJ33" s="522"/>
      <c r="AK33" s="531"/>
      <c r="AL33" s="1215"/>
      <c r="AM33" s="1215"/>
      <c r="AN33" s="1215"/>
      <c r="AO33" s="1215"/>
      <c r="AP33" s="508"/>
      <c r="AQ33" s="146">
        <f>IF(AR32="","",IF(AR32="B",3,IF(AR33="B",2,IF(AR34="B",1,IF(AR35="B",0,0)))))</f>
        <v>2</v>
      </c>
      <c r="AR33" s="724" t="s">
        <v>46</v>
      </c>
      <c r="AS33" s="269"/>
      <c r="AT33" s="290"/>
      <c r="AU33" s="290"/>
      <c r="AV33" s="454" t="str">
        <f>IF(AQ$27="","",IF(AY33&lt;&gt;"",AZ33,AV15))</f>
        <v>Igor Kononov</v>
      </c>
      <c r="AW33" s="724" t="s">
        <v>46</v>
      </c>
      <c r="AX33" s="268"/>
      <c r="AY33" s="929"/>
      <c r="AZ33" s="1090" t="str">
        <f t="shared" si="143"/>
        <v/>
      </c>
      <c r="BA33" s="1091"/>
      <c r="BB33" s="1091"/>
      <c r="BC33" s="1091"/>
      <c r="BD33" s="1092"/>
      <c r="BM33" s="8">
        <f>$M33</f>
        <v>2</v>
      </c>
      <c r="BR33" s="8">
        <f>$AB33</f>
        <v>0</v>
      </c>
      <c r="BW33" s="8">
        <f>$AQ33</f>
        <v>2</v>
      </c>
      <c r="BY33" s="8"/>
      <c r="CA33" s="16"/>
      <c r="CB33" s="13">
        <v>2</v>
      </c>
      <c r="CG33" s="13">
        <v>7</v>
      </c>
      <c r="CH33" s="13" t="str">
        <f t="shared" si="117"/>
        <v>Vitaly Khomitsevich</v>
      </c>
      <c r="CI33" s="14">
        <f t="shared" si="82"/>
        <v>8</v>
      </c>
      <c r="CU33" s="13">
        <f t="shared" si="118"/>
        <v>4</v>
      </c>
      <c r="CV33" s="13">
        <f t="shared" si="83"/>
        <v>4</v>
      </c>
      <c r="CW33" s="13" t="str">
        <f t="shared" si="83"/>
        <v>Igor Kononov</v>
      </c>
      <c r="CX33" s="13">
        <f t="shared" si="83"/>
        <v>3</v>
      </c>
      <c r="CY33" s="13">
        <f t="shared" si="83"/>
        <v>2</v>
      </c>
      <c r="CZ33" s="13">
        <f t="shared" si="83"/>
        <v>3</v>
      </c>
      <c r="DA33" s="13">
        <f t="shared" si="83"/>
        <v>3</v>
      </c>
      <c r="DC33" s="13">
        <f t="shared" si="119"/>
        <v>11</v>
      </c>
      <c r="DD33" s="243">
        <f t="shared" si="84"/>
        <v>3</v>
      </c>
      <c r="DE33" s="236">
        <f t="shared" si="120"/>
        <v>0.03</v>
      </c>
      <c r="DF33" s="232">
        <f t="shared" si="85"/>
        <v>1</v>
      </c>
      <c r="DG33" s="234">
        <f t="shared" si="121"/>
        <v>1E-3</v>
      </c>
      <c r="DH33" s="232">
        <f t="shared" si="86"/>
        <v>0</v>
      </c>
      <c r="DI33" s="41">
        <f t="shared" si="122"/>
        <v>0</v>
      </c>
      <c r="DJ33" s="271">
        <f t="shared" si="87"/>
        <v>0</v>
      </c>
      <c r="DK33" s="273">
        <f t="shared" si="88"/>
        <v>0</v>
      </c>
      <c r="DL33" s="281">
        <f t="shared" si="89"/>
        <v>0</v>
      </c>
      <c r="DM33" s="239">
        <f t="shared" si="90"/>
        <v>5.6000000000000004E-7</v>
      </c>
      <c r="DN33" s="285">
        <f t="shared" si="91"/>
        <v>11.030999999999999</v>
      </c>
      <c r="DO33" s="285">
        <f t="shared" si="92"/>
        <v>11.030999999999999</v>
      </c>
      <c r="DP33" s="285">
        <f t="shared" si="93"/>
        <v>11.031000559999999</v>
      </c>
      <c r="DQ33" s="597"/>
      <c r="DR33" s="205" t="str">
        <f t="shared" si="123"/>
        <v/>
      </c>
      <c r="DS33" s="4" t="str">
        <f t="shared" si="136"/>
        <v/>
      </c>
      <c r="DT33" s="4" t="str">
        <f t="shared" si="138"/>
        <v/>
      </c>
      <c r="DU33" s="4" t="str">
        <f t="shared" si="140"/>
        <v/>
      </c>
      <c r="DV33" s="4" t="str">
        <f t="shared" si="144"/>
        <v/>
      </c>
      <c r="DW33" s="4" t="str">
        <f t="shared" ref="DW33:DW42" si="147">IF($FO33=$FO$32,$CV9,"")</f>
        <v/>
      </c>
      <c r="DX33" s="208"/>
      <c r="DY33" s="4" t="str">
        <f t="shared" si="95"/>
        <v/>
      </c>
      <c r="DZ33" s="4" t="str">
        <f t="shared" si="96"/>
        <v/>
      </c>
      <c r="EA33" s="4" t="str">
        <f t="shared" si="97"/>
        <v/>
      </c>
      <c r="EB33" s="4" t="str">
        <f t="shared" si="98"/>
        <v/>
      </c>
      <c r="EC33" s="4" t="str">
        <f t="shared" si="99"/>
        <v/>
      </c>
      <c r="ED33" s="4" t="str">
        <f t="shared" si="100"/>
        <v/>
      </c>
      <c r="EE33" s="4" t="str">
        <f t="shared" si="101"/>
        <v/>
      </c>
      <c r="EF33" s="4" t="str">
        <f t="shared" si="102"/>
        <v/>
      </c>
      <c r="EG33" s="225" t="str">
        <f t="shared" si="103"/>
        <v/>
      </c>
      <c r="EH33" s="215">
        <f>$R$8</f>
        <v>4</v>
      </c>
      <c r="EI33" s="205" t="str">
        <f>IF(DR$33="","",FT$9)</f>
        <v/>
      </c>
      <c r="EJ33" s="4" t="str">
        <f t="shared" ref="EJ33:EX33" si="148">IF(DS$33="","",FU$9)</f>
        <v/>
      </c>
      <c r="EK33" s="4" t="str">
        <f t="shared" si="148"/>
        <v/>
      </c>
      <c r="EL33" s="4" t="str">
        <f t="shared" si="148"/>
        <v/>
      </c>
      <c r="EM33" s="4" t="str">
        <f t="shared" si="148"/>
        <v/>
      </c>
      <c r="EN33" s="4" t="str">
        <f t="shared" si="148"/>
        <v/>
      </c>
      <c r="EO33" s="208"/>
      <c r="EP33" s="4" t="str">
        <f t="shared" si="148"/>
        <v/>
      </c>
      <c r="EQ33" s="4" t="str">
        <f t="shared" si="148"/>
        <v/>
      </c>
      <c r="ER33" s="4" t="str">
        <f t="shared" si="148"/>
        <v/>
      </c>
      <c r="ES33" s="4" t="str">
        <f t="shared" si="148"/>
        <v/>
      </c>
      <c r="ET33" s="4" t="str">
        <f t="shared" si="148"/>
        <v/>
      </c>
      <c r="EU33" s="4" t="str">
        <f t="shared" si="148"/>
        <v/>
      </c>
      <c r="EV33" s="4" t="str">
        <f t="shared" si="148"/>
        <v/>
      </c>
      <c r="EW33" s="4" t="str">
        <f t="shared" si="148"/>
        <v/>
      </c>
      <c r="EX33" s="225" t="str">
        <f t="shared" si="148"/>
        <v/>
      </c>
      <c r="EY33" s="230">
        <f t="shared" si="125"/>
        <v>0</v>
      </c>
      <c r="EZ33" s="13">
        <f t="shared" si="105"/>
        <v>4</v>
      </c>
      <c r="FA33" s="673">
        <f t="shared" si="106"/>
        <v>4</v>
      </c>
      <c r="FB33" s="666" t="str">
        <f t="shared" si="107"/>
        <v>Igor Kononov</v>
      </c>
      <c r="FC33" s="667">
        <f t="shared" si="126"/>
        <v>12</v>
      </c>
      <c r="FD33" s="667">
        <f t="shared" si="127"/>
        <v>1</v>
      </c>
      <c r="FE33" s="667">
        <f t="shared" si="108"/>
        <v>2</v>
      </c>
      <c r="FF33" s="667">
        <f t="shared" si="128"/>
        <v>2</v>
      </c>
      <c r="FG33" s="668">
        <f t="shared" si="109"/>
        <v>0</v>
      </c>
      <c r="FH33" s="669">
        <f t="shared" si="129"/>
        <v>14</v>
      </c>
      <c r="FI33" s="670">
        <f t="shared" si="130"/>
        <v>12.031099999999999</v>
      </c>
      <c r="FJ33" s="671">
        <f t="shared" si="131"/>
        <v>3.1099999999998573E-2</v>
      </c>
      <c r="FK33" s="672">
        <f t="shared" si="132"/>
        <v>0</v>
      </c>
      <c r="FL33" s="672">
        <f t="shared" si="133"/>
        <v>1E-3</v>
      </c>
      <c r="FM33" s="672">
        <f t="shared" si="110"/>
        <v>0</v>
      </c>
      <c r="FN33" s="674">
        <f t="shared" si="134"/>
        <v>0</v>
      </c>
      <c r="FO33" s="674">
        <f>SUM(FH33+SUM(FJ33:FN33))</f>
        <v>14.032099999999998</v>
      </c>
      <c r="FP33" s="672">
        <f t="shared" si="112"/>
        <v>0</v>
      </c>
      <c r="FQ33" s="685">
        <f t="shared" si="113"/>
        <v>0</v>
      </c>
      <c r="FR33" s="58">
        <f t="shared" si="114"/>
        <v>1</v>
      </c>
      <c r="FS33" s="289">
        <f t="shared" si="135"/>
        <v>0</v>
      </c>
      <c r="FT33" s="1196">
        <f t="shared" si="115"/>
        <v>20</v>
      </c>
      <c r="FU33" s="1196"/>
      <c r="FV33" s="1196"/>
      <c r="FW33" s="1196"/>
      <c r="FX33" s="672">
        <f t="shared" si="116"/>
        <v>5.6000000000000004E-7</v>
      </c>
      <c r="FY33" s="1193">
        <f t="shared" si="146"/>
        <v>20.00000056</v>
      </c>
      <c r="FZ33" s="1193"/>
      <c r="GA33" s="1193"/>
      <c r="GB33" s="1193"/>
      <c r="GC33" s="1193"/>
      <c r="GJ33" s="290"/>
      <c r="GK33" s="626">
        <f>AG37</f>
        <v>1</v>
      </c>
      <c r="GL33" s="634">
        <f>IF(AQ37&gt;AQ36,GK33,IF(AQ37&lt;AQ36,GL31,""))</f>
        <v>3</v>
      </c>
      <c r="GM33" s="628" t="s">
        <v>197</v>
      </c>
      <c r="GN33" s="635">
        <f>IF(AQ37&gt;AQ38,GK33,IF(AQ37&lt;AQ38,GN31,""))</f>
        <v>1</v>
      </c>
      <c r="GO33" s="636">
        <f>IF(AQ37&gt;AQ39,GK33,IF(AQ37&lt;AQ39,GO31,""))</f>
        <v>1</v>
      </c>
      <c r="GP33" s="682">
        <f>COUNTIF(GL33:GO33,GK33)</f>
        <v>2</v>
      </c>
      <c r="GW33" s="1144"/>
      <c r="GX33" s="230" t="str">
        <f>IF($N$32="","",IF($IW$33=$GX$3,$IX$33,IF(AND($H$33=$GX$3,$L$33&lt;&gt;""),$L$33,IF(AND($H$33=$GX$3,$L$33=""),$M$33,""))))</f>
        <v/>
      </c>
      <c r="GY33" s="301">
        <v>59</v>
      </c>
      <c r="GZ33" s="5" t="str">
        <f t="shared" si="77"/>
        <v/>
      </c>
      <c r="HA33" s="95" t="str">
        <f t="shared" si="68"/>
        <v/>
      </c>
      <c r="HB33" s="5"/>
      <c r="HC33" s="95" t="str">
        <f t="shared" si="78"/>
        <v/>
      </c>
      <c r="HG33" s="1144"/>
      <c r="HH33" s="230" t="str">
        <f>IF($N$32="","",IF($IW$33=$HH$3,$IX$33,IF(AND($H$33=$HH$3,$L$33&lt;&gt;""),$L$33,IF(AND($H$33=$HH$3,$L$33=""),$M$33,""))))</f>
        <v/>
      </c>
      <c r="HI33" s="301">
        <v>59</v>
      </c>
      <c r="HJ33" s="5" t="str">
        <f t="shared" si="79"/>
        <v/>
      </c>
      <c r="HK33" s="95" t="str">
        <f t="shared" si="69"/>
        <v/>
      </c>
      <c r="HL33" s="5"/>
      <c r="HM33" s="95" t="str">
        <f t="shared" si="70"/>
        <v/>
      </c>
      <c r="HN33" s="1149"/>
      <c r="HO33" s="131" t="str">
        <f>IF($H29="",$D29,$H29)</f>
        <v>Per-Anders Lindstrom</v>
      </c>
      <c r="HP33" s="327"/>
      <c r="HQ33" s="327" t="str">
        <f>IF($L29="","",$L29)</f>
        <v/>
      </c>
      <c r="HR33" s="327">
        <v>0.03</v>
      </c>
      <c r="HS33" s="458">
        <f>IF($M29="","",SUM(HR33+$M29))</f>
        <v>0.03</v>
      </c>
      <c r="HT33" s="327">
        <f>RANK(HS33,HS32:HS35)</f>
        <v>4</v>
      </c>
      <c r="HU33" s="327" t="str">
        <f>IF(HQ33="",HO33,HO33&amp;" ("&amp;HQ33&amp;")")</f>
        <v>Per-Anders Lindstrom</v>
      </c>
      <c r="HV33" s="328">
        <v>2</v>
      </c>
      <c r="HW33" s="337" t="str">
        <f>IF(N28="","",VLOOKUP(HV33,HT32:HU35,2,FALSE))</f>
        <v>Daniel Henderson</v>
      </c>
      <c r="HX33" s="1149"/>
      <c r="HY33" s="131" t="str">
        <f>IF($W29="",$S29,$W29)</f>
        <v>Vitaly Khomitsevich</v>
      </c>
      <c r="HZ33" s="327"/>
      <c r="IA33" s="327" t="str">
        <f>IF($AA29="","",$AA29)</f>
        <v/>
      </c>
      <c r="IB33" s="327">
        <v>0.03</v>
      </c>
      <c r="IC33" s="458">
        <f>IF($AB29="","",SUM(IB33+$AB29))</f>
        <v>2.0299999999999998</v>
      </c>
      <c r="ID33" s="327">
        <f>RANK(IC33,IC32:IC35)</f>
        <v>2</v>
      </c>
      <c r="IE33" s="327" t="str">
        <f>IF(IA33="",HY33,HY33&amp;" ("&amp;IA33&amp;")")</f>
        <v>Vitaly Khomitsevich</v>
      </c>
      <c r="IF33" s="344">
        <v>2</v>
      </c>
      <c r="IG33" s="337" t="str">
        <f>IF(AC28="","",VLOOKUP(IF33,ID32:IE35,2,FALSE))</f>
        <v>Vitaly Khomitsevich</v>
      </c>
      <c r="IH33"/>
      <c r="II33"/>
      <c r="IJ33"/>
      <c r="IK33"/>
      <c r="IL33"/>
      <c r="IM33"/>
      <c r="IN33"/>
      <c r="IO33"/>
      <c r="IP33"/>
      <c r="IQ33"/>
      <c r="IR33"/>
      <c r="IU33" s="1112"/>
      <c r="IV33" s="698"/>
      <c r="IW33" s="699" t="str">
        <f t="shared" si="71"/>
        <v/>
      </c>
      <c r="IX33" s="700"/>
      <c r="IZ33" s="1112"/>
      <c r="JA33" s="698"/>
      <c r="JB33" s="699" t="str">
        <f t="shared" si="72"/>
        <v/>
      </c>
      <c r="JC33" s="700"/>
      <c r="JE33" s="705"/>
      <c r="JF33" s="705"/>
      <c r="JG33" s="705"/>
      <c r="JH33" s="705"/>
    </row>
    <row r="34" spans="1:268" ht="12.75" customHeight="1">
      <c r="A34" s="1212"/>
      <c r="B34" s="39">
        <v>2</v>
      </c>
      <c r="C34" s="102">
        <f>R$3</f>
        <v>3</v>
      </c>
      <c r="D34" s="517" t="str">
        <f>S$3</f>
        <v>Dimitry Khomitsevich</v>
      </c>
      <c r="E34" s="1011"/>
      <c r="F34" s="525" t="str">
        <f t="shared" si="52"/>
        <v/>
      </c>
      <c r="G34" s="1020"/>
      <c r="H34" s="1198" t="str">
        <f t="shared" si="53"/>
        <v/>
      </c>
      <c r="I34" s="1198"/>
      <c r="J34" s="1198"/>
      <c r="K34" s="1198"/>
      <c r="L34" s="508"/>
      <c r="M34" s="146">
        <f>IF(N32="","",IF(N32="w",3,IF(N33="w",2,IF(N34="w",1,IF(N35="w",0,0)))))</f>
        <v>3</v>
      </c>
      <c r="N34" s="707" t="s">
        <v>12</v>
      </c>
      <c r="O34" s="268"/>
      <c r="P34" s="1212"/>
      <c r="Q34" s="39">
        <v>8</v>
      </c>
      <c r="R34" s="102">
        <f>R$9</f>
        <v>7</v>
      </c>
      <c r="S34" s="517" t="str">
        <f>S$9</f>
        <v>Gunter Bauer</v>
      </c>
      <c r="T34" s="1011"/>
      <c r="U34" s="525" t="str">
        <f t="shared" si="80"/>
        <v/>
      </c>
      <c r="V34" s="1020"/>
      <c r="W34" s="1198" t="str">
        <f t="shared" si="54"/>
        <v/>
      </c>
      <c r="X34" s="1198"/>
      <c r="Y34" s="1198"/>
      <c r="Z34" s="1198"/>
      <c r="AA34" s="508"/>
      <c r="AB34" s="146">
        <f>IF(AC32="","",IF(AC32="w",3,IF(AC33="w",2,IF(AC34="w",1,IF(AC35="w",0,0)))))</f>
        <v>2</v>
      </c>
      <c r="AC34" s="724" t="s">
        <v>222</v>
      </c>
      <c r="AD34" s="269"/>
      <c r="AE34" s="1217"/>
      <c r="AF34" s="102"/>
      <c r="AG34" s="102">
        <f t="shared" si="142"/>
        <v>10</v>
      </c>
      <c r="AH34" s="517" t="str">
        <f>IF(AW32="W",AV32,IF(AW33="W",AV33,IF(AW34="W",AV34,IF(AW35="W",AV35,""))))</f>
        <v>Franz Zorn</v>
      </c>
      <c r="AI34" s="522"/>
      <c r="AJ34" s="522"/>
      <c r="AK34" s="531"/>
      <c r="AL34" s="1215"/>
      <c r="AM34" s="1215"/>
      <c r="AN34" s="1215"/>
      <c r="AO34" s="1215"/>
      <c r="AP34" s="508"/>
      <c r="AQ34" s="146">
        <f>IF(AR32="","",IF(AR32="w",3,IF(AR33="w",2,IF(AR34="w",1,IF(AR35="w",0,0)))))</f>
        <v>1</v>
      </c>
      <c r="AR34" s="724" t="s">
        <v>221</v>
      </c>
      <c r="AS34" s="269"/>
      <c r="AT34" s="290"/>
      <c r="AU34" s="290"/>
      <c r="AV34" s="454" t="str">
        <f>IF(AQ$27="","",IF(AY34&lt;&gt;"",AZ34,AV17))</f>
        <v>Franz Zorn</v>
      </c>
      <c r="AW34" s="724" t="s">
        <v>221</v>
      </c>
      <c r="AX34" s="268"/>
      <c r="AY34" s="929"/>
      <c r="AZ34" s="1090" t="str">
        <f t="shared" si="143"/>
        <v/>
      </c>
      <c r="BA34" s="1091"/>
      <c r="BB34" s="1091"/>
      <c r="BC34" s="1091"/>
      <c r="BD34" s="1092"/>
      <c r="BN34" s="8">
        <f>$M34</f>
        <v>3</v>
      </c>
      <c r="BS34" s="8">
        <f>$AB34</f>
        <v>2</v>
      </c>
      <c r="BX34" s="8">
        <f>$AQ34</f>
        <v>1</v>
      </c>
      <c r="BY34" s="8"/>
      <c r="CA34" s="16"/>
      <c r="CB34" s="13">
        <v>3</v>
      </c>
      <c r="CG34" s="13">
        <v>8</v>
      </c>
      <c r="CH34" s="13" t="str">
        <f t="shared" si="117"/>
        <v>Gunter Bauer</v>
      </c>
      <c r="CI34" s="14">
        <f t="shared" si="82"/>
        <v>7</v>
      </c>
      <c r="CU34" s="13">
        <f t="shared" si="118"/>
        <v>8</v>
      </c>
      <c r="CV34" s="13">
        <f t="shared" si="83"/>
        <v>7</v>
      </c>
      <c r="CW34" s="13" t="str">
        <f t="shared" si="83"/>
        <v>Gunter Bauer</v>
      </c>
      <c r="CX34" s="13">
        <f t="shared" si="83"/>
        <v>2</v>
      </c>
      <c r="CY34" s="13">
        <f t="shared" si="83"/>
        <v>2</v>
      </c>
      <c r="CZ34" s="13">
        <f t="shared" si="83"/>
        <v>1</v>
      </c>
      <c r="DA34" s="13">
        <f t="shared" si="83"/>
        <v>2</v>
      </c>
      <c r="DC34" s="13">
        <f t="shared" si="119"/>
        <v>7</v>
      </c>
      <c r="DD34" s="243">
        <f t="shared" si="84"/>
        <v>0</v>
      </c>
      <c r="DE34" s="236">
        <f t="shared" si="120"/>
        <v>0</v>
      </c>
      <c r="DF34" s="232">
        <f t="shared" si="85"/>
        <v>3</v>
      </c>
      <c r="DG34" s="234">
        <f t="shared" si="121"/>
        <v>3.0000000000000001E-3</v>
      </c>
      <c r="DH34" s="232">
        <f t="shared" si="86"/>
        <v>1</v>
      </c>
      <c r="DI34" s="41">
        <f t="shared" si="122"/>
        <v>1E-4</v>
      </c>
      <c r="DJ34" s="271">
        <f t="shared" si="87"/>
        <v>0</v>
      </c>
      <c r="DK34" s="273">
        <f t="shared" si="88"/>
        <v>0</v>
      </c>
      <c r="DL34" s="281">
        <f t="shared" si="89"/>
        <v>0</v>
      </c>
      <c r="DM34" s="238">
        <f t="shared" si="90"/>
        <v>5.3000000000000001E-7</v>
      </c>
      <c r="DN34" s="284">
        <f t="shared" si="91"/>
        <v>7.0030999999999999</v>
      </c>
      <c r="DO34" s="284">
        <f t="shared" si="92"/>
        <v>7.0030999999999999</v>
      </c>
      <c r="DP34" s="284">
        <f t="shared" si="93"/>
        <v>7.0031005300000002</v>
      </c>
      <c r="DQ34" s="597"/>
      <c r="DR34" s="205" t="str">
        <f t="shared" si="123"/>
        <v/>
      </c>
      <c r="DS34" s="4" t="str">
        <f t="shared" si="136"/>
        <v/>
      </c>
      <c r="DT34" s="4" t="str">
        <f t="shared" si="138"/>
        <v/>
      </c>
      <c r="DU34" s="4" t="str">
        <f t="shared" si="140"/>
        <v/>
      </c>
      <c r="DV34" s="4" t="str">
        <f t="shared" si="144"/>
        <v/>
      </c>
      <c r="DW34" s="4" t="str">
        <f t="shared" si="147"/>
        <v/>
      </c>
      <c r="DX34" s="4" t="str">
        <f t="shared" ref="DX34:DX42" si="149">IF($FO34=$FO$33,$CV10,"")</f>
        <v/>
      </c>
      <c r="DY34" s="208"/>
      <c r="DZ34" s="4" t="str">
        <f t="shared" si="96"/>
        <v/>
      </c>
      <c r="EA34" s="4" t="str">
        <f t="shared" si="97"/>
        <v/>
      </c>
      <c r="EB34" s="4" t="str">
        <f t="shared" si="98"/>
        <v/>
      </c>
      <c r="EC34" s="4" t="str">
        <f t="shared" si="99"/>
        <v/>
      </c>
      <c r="ED34" s="4" t="str">
        <f t="shared" si="100"/>
        <v/>
      </c>
      <c r="EE34" s="4" t="str">
        <f t="shared" si="101"/>
        <v/>
      </c>
      <c r="EF34" s="4" t="str">
        <f t="shared" si="102"/>
        <v/>
      </c>
      <c r="EG34" s="225" t="str">
        <f t="shared" si="103"/>
        <v/>
      </c>
      <c r="EH34" s="215">
        <f>$R$9</f>
        <v>7</v>
      </c>
      <c r="EI34" s="205" t="str">
        <f>IF(DR$34="","",FT$10)</f>
        <v/>
      </c>
      <c r="EJ34" s="4" t="str">
        <f t="shared" ref="EJ34:EX34" si="150">IF(DS$34="","",FU$10)</f>
        <v/>
      </c>
      <c r="EK34" s="4" t="str">
        <f t="shared" si="150"/>
        <v/>
      </c>
      <c r="EL34" s="4" t="str">
        <f t="shared" si="150"/>
        <v/>
      </c>
      <c r="EM34" s="4" t="str">
        <f t="shared" si="150"/>
        <v/>
      </c>
      <c r="EN34" s="4" t="str">
        <f t="shared" si="150"/>
        <v/>
      </c>
      <c r="EO34" s="4" t="str">
        <f t="shared" si="150"/>
        <v/>
      </c>
      <c r="EP34" s="208"/>
      <c r="EQ34" s="4" t="str">
        <f t="shared" si="150"/>
        <v/>
      </c>
      <c r="ER34" s="4" t="str">
        <f t="shared" si="150"/>
        <v/>
      </c>
      <c r="ES34" s="4" t="str">
        <f t="shared" si="150"/>
        <v/>
      </c>
      <c r="ET34" s="4" t="str">
        <f t="shared" si="150"/>
        <v/>
      </c>
      <c r="EU34" s="4" t="str">
        <f t="shared" si="150"/>
        <v/>
      </c>
      <c r="EV34" s="4" t="str">
        <f t="shared" si="150"/>
        <v/>
      </c>
      <c r="EW34" s="4" t="str">
        <f t="shared" si="150"/>
        <v/>
      </c>
      <c r="EX34" s="225" t="str">
        <f t="shared" si="150"/>
        <v/>
      </c>
      <c r="EY34" s="230">
        <f t="shared" si="125"/>
        <v>0</v>
      </c>
      <c r="EZ34" s="13">
        <f t="shared" si="105"/>
        <v>7</v>
      </c>
      <c r="FA34" s="673">
        <f t="shared" si="106"/>
        <v>7</v>
      </c>
      <c r="FB34" s="666" t="str">
        <f t="shared" si="107"/>
        <v>Gunter Bauer</v>
      </c>
      <c r="FC34" s="667">
        <f t="shared" si="126"/>
        <v>9</v>
      </c>
      <c r="FD34" s="667">
        <f t="shared" si="127"/>
        <v>1</v>
      </c>
      <c r="FE34" s="667">
        <f t="shared" si="108"/>
        <v>0</v>
      </c>
      <c r="FF34" s="667">
        <f t="shared" si="128"/>
        <v>1</v>
      </c>
      <c r="FG34" s="668">
        <f t="shared" si="109"/>
        <v>0</v>
      </c>
      <c r="FH34" s="728">
        <f t="shared" si="129"/>
        <v>9</v>
      </c>
      <c r="FI34" s="729">
        <f t="shared" si="130"/>
        <v>9.0040999999999993</v>
      </c>
      <c r="FJ34" s="730">
        <f t="shared" si="131"/>
        <v>4.0999999999993264E-3</v>
      </c>
      <c r="FK34" s="731">
        <f t="shared" si="132"/>
        <v>0</v>
      </c>
      <c r="FL34" s="731">
        <f t="shared" si="133"/>
        <v>0</v>
      </c>
      <c r="FM34" s="731">
        <f t="shared" si="110"/>
        <v>0</v>
      </c>
      <c r="FN34" s="732">
        <f t="shared" si="134"/>
        <v>1.0000000000000001E-5</v>
      </c>
      <c r="FO34" s="732">
        <f t="shared" ref="FO34:FO44" si="151">SUM(FH34+SUM(FJ34:FN34))</f>
        <v>9.0041099999999989</v>
      </c>
      <c r="FP34" s="672">
        <f t="shared" si="112"/>
        <v>1</v>
      </c>
      <c r="FQ34" s="685">
        <f t="shared" si="113"/>
        <v>0</v>
      </c>
      <c r="FR34" s="58">
        <f t="shared" si="114"/>
        <v>1</v>
      </c>
      <c r="FS34" s="289">
        <f t="shared" si="135"/>
        <v>0</v>
      </c>
      <c r="FT34" s="1196">
        <f t="shared" si="115"/>
        <v>9.0041099999999989</v>
      </c>
      <c r="FU34" s="1196"/>
      <c r="FV34" s="1196"/>
      <c r="FW34" s="1196"/>
      <c r="FX34" s="727">
        <f t="shared" si="116"/>
        <v>5.3000000000000001E-7</v>
      </c>
      <c r="FY34" s="1193">
        <f t="shared" si="146"/>
        <v>9.0041105299999984</v>
      </c>
      <c r="FZ34" s="1193"/>
      <c r="GA34" s="1193"/>
      <c r="GB34" s="1193"/>
      <c r="GC34" s="1193"/>
      <c r="GD34"/>
      <c r="GE34"/>
      <c r="GF34"/>
      <c r="GG34"/>
      <c r="GH34" s="290"/>
      <c r="GJ34" s="290"/>
      <c r="GK34" s="626">
        <f>AG38</f>
        <v>11</v>
      </c>
      <c r="GL34" s="634">
        <f>IF(AQ38&gt;AQ36,GK34,IF(AQ38&lt;AQ36,GL31,""))</f>
        <v>3</v>
      </c>
      <c r="GM34" s="635">
        <f>IF(AQ38&gt;AQ37,GK34,IF(AQ38&lt;AQ37,GM31,""))</f>
        <v>1</v>
      </c>
      <c r="GN34" s="628" t="s">
        <v>197</v>
      </c>
      <c r="GO34" s="636">
        <f>IF(AQ38&gt;AQ39,GK34,IF(AQ38&lt;AQ39,GO31,""))</f>
        <v>11</v>
      </c>
      <c r="GP34" s="682">
        <f>COUNTIF(GL34:GO34,GK34)</f>
        <v>1</v>
      </c>
      <c r="GW34" s="1144"/>
      <c r="GX34" s="230" t="str">
        <f>IF($N$32="","",IF($IW$34=$GX$3,$IX$34,IF(AND($H$34=$GX$3,$L$34&lt;&gt;""),$L$34,IF(AND($H$34=$GX$3,$L$34=""),$M$34,""))))</f>
        <v/>
      </c>
      <c r="GY34" s="301">
        <v>58</v>
      </c>
      <c r="GZ34" s="5" t="str">
        <f t="shared" si="77"/>
        <v/>
      </c>
      <c r="HA34" s="95" t="str">
        <f t="shared" si="68"/>
        <v/>
      </c>
      <c r="HB34" s="5"/>
      <c r="HC34" s="95" t="str">
        <f t="shared" si="78"/>
        <v/>
      </c>
      <c r="HG34" s="1144"/>
      <c r="HH34" s="230" t="str">
        <f>IF($N$32="","",IF($IW$34=$HH$3,$IX$34,IF(AND($H$34=$HH$3,$L$34&lt;&gt;""),$L$34,IF(AND($H$34=$HH$3,$L$34=""),$M$34,""))))</f>
        <v/>
      </c>
      <c r="HI34" s="301">
        <v>58</v>
      </c>
      <c r="HJ34" s="5" t="str">
        <f t="shared" si="79"/>
        <v/>
      </c>
      <c r="HK34" s="95" t="str">
        <f t="shared" si="69"/>
        <v/>
      </c>
      <c r="HL34" s="5"/>
      <c r="HM34" s="95" t="str">
        <f t="shared" si="70"/>
        <v/>
      </c>
      <c r="HN34" s="1149"/>
      <c r="HO34" s="131" t="str">
        <f>IF($H30="",$D30,$H30)</f>
        <v>Antonin Klatovsky</v>
      </c>
      <c r="HP34" s="327"/>
      <c r="HQ34" s="327" t="str">
        <f>IF($L30="","",$L30)</f>
        <v/>
      </c>
      <c r="HR34" s="327">
        <v>0.02</v>
      </c>
      <c r="HS34" s="458">
        <f>IF($M30="","",SUM(HR34+$M30))</f>
        <v>1.02</v>
      </c>
      <c r="HT34" s="327">
        <f>RANK(HS34,HS32:HS35)</f>
        <v>3</v>
      </c>
      <c r="HU34" s="327" t="str">
        <f>IF(HQ34="",HO34,HO34&amp;" ("&amp;HQ34&amp;")")</f>
        <v>Antonin Klatovsky</v>
      </c>
      <c r="HV34" s="328">
        <v>3</v>
      </c>
      <c r="HW34" s="337" t="str">
        <f>IF(N28="","",VLOOKUP(HV34,HT32:HU35,2,FALSE))</f>
        <v>Antonin Klatovsky</v>
      </c>
      <c r="HX34" s="1149"/>
      <c r="HY34" s="131" t="str">
        <f>IF($W30="",$S30,$W30)</f>
        <v>Stefan Pletschacher</v>
      </c>
      <c r="HZ34" s="327"/>
      <c r="IA34" s="327" t="str">
        <f>IF($AA30="","",$AA30)</f>
        <v/>
      </c>
      <c r="IB34" s="327">
        <v>0.02</v>
      </c>
      <c r="IC34" s="458">
        <f>IF($AB30="","",SUM(IB34+$AB30))</f>
        <v>0.02</v>
      </c>
      <c r="ID34" s="327">
        <f>RANK(IC34,IC32:IC35)</f>
        <v>4</v>
      </c>
      <c r="IE34" s="327" t="str">
        <f>IF(IA34="",HY34,HY34&amp;" ("&amp;IA34&amp;")")</f>
        <v>Stefan Pletschacher</v>
      </c>
      <c r="IF34" s="344">
        <v>3</v>
      </c>
      <c r="IG34" s="337" t="str">
        <f>IF(AC28="","",VLOOKUP(IF34,ID32:IE35,2,FALSE))</f>
        <v>Per-Anders Lindstrom</v>
      </c>
      <c r="IH34"/>
      <c r="II34"/>
      <c r="IJ34"/>
      <c r="IK34"/>
      <c r="IL34"/>
      <c r="IM34"/>
      <c r="IN34"/>
      <c r="IO34"/>
      <c r="IP34"/>
      <c r="IQ34"/>
      <c r="IR34"/>
      <c r="IU34" s="1112"/>
      <c r="IV34" s="701"/>
      <c r="IW34" s="699" t="str">
        <f t="shared" si="71"/>
        <v/>
      </c>
      <c r="IX34" s="700"/>
      <c r="IZ34" s="1112"/>
      <c r="JA34" s="701"/>
      <c r="JB34" s="699" t="str">
        <f t="shared" si="72"/>
        <v/>
      </c>
      <c r="JC34" s="700"/>
      <c r="JE34" s="705"/>
      <c r="JF34" s="705"/>
      <c r="JG34" s="705"/>
      <c r="JH34" s="705"/>
    </row>
    <row r="35" spans="1:268" ht="12.75" customHeight="1" thickBot="1">
      <c r="A35" s="918" t="s">
        <v>402</v>
      </c>
      <c r="B35" s="330">
        <v>6</v>
      </c>
      <c r="C35" s="107">
        <f>R$7</f>
        <v>16</v>
      </c>
      <c r="D35" s="518" t="str">
        <f>S$7</f>
        <v>Rene Stellingwerf</v>
      </c>
      <c r="E35" s="1012" t="s">
        <v>313</v>
      </c>
      <c r="F35" s="526" t="str">
        <f t="shared" si="52"/>
        <v>N</v>
      </c>
      <c r="G35" s="1021">
        <v>17</v>
      </c>
      <c r="H35" s="1197" t="str">
        <f t="shared" si="53"/>
        <v>Simon Reitsma</v>
      </c>
      <c r="I35" s="1197"/>
      <c r="J35" s="1197"/>
      <c r="K35" s="1197"/>
      <c r="L35" s="509"/>
      <c r="M35" s="149">
        <f>IF(N32="","",IF(N32="y",3,IF(N33="y",2,IF(N34="y",1,IF(N35="y",0,0)))))</f>
        <v>0</v>
      </c>
      <c r="N35" s="708" t="s">
        <v>222</v>
      </c>
      <c r="O35" s="268"/>
      <c r="P35" s="918" t="s">
        <v>414</v>
      </c>
      <c r="Q35" s="330">
        <v>11</v>
      </c>
      <c r="R35" s="107">
        <f>AG$4</f>
        <v>15</v>
      </c>
      <c r="S35" s="518" t="str">
        <f>AH$4</f>
        <v>Harald Simon</v>
      </c>
      <c r="T35" s="1012"/>
      <c r="U35" s="526" t="str">
        <f t="shared" si="80"/>
        <v/>
      </c>
      <c r="V35" s="1021"/>
      <c r="W35" s="1197" t="str">
        <f t="shared" si="54"/>
        <v/>
      </c>
      <c r="X35" s="1197"/>
      <c r="Y35" s="1197"/>
      <c r="Z35" s="1197"/>
      <c r="AA35" s="509"/>
      <c r="AB35" s="149">
        <f>IF(AC32="","",IF(AC32="y",3,IF(AC33="y",2,IF(AC34="y",1,IF(AC35="y",0,0)))))</f>
        <v>1</v>
      </c>
      <c r="AC35" s="725" t="s">
        <v>46</v>
      </c>
      <c r="AD35" s="269"/>
      <c r="AE35" s="918" t="s">
        <v>421</v>
      </c>
      <c r="AF35" s="103"/>
      <c r="AG35" s="103">
        <f t="shared" si="142"/>
        <v>7</v>
      </c>
      <c r="AH35" s="520" t="str">
        <f>IF(AW32="Y",AV32,IF(AW33="Y",AV33,IF(AW34="Y",AV34,IF(AW35="Y",AV35,""))))</f>
        <v>Gunter Bauer</v>
      </c>
      <c r="AI35" s="523"/>
      <c r="AJ35" s="523"/>
      <c r="AK35" s="532"/>
      <c r="AL35" s="1213"/>
      <c r="AM35" s="1213"/>
      <c r="AN35" s="1213"/>
      <c r="AO35" s="1213"/>
      <c r="AP35" s="509"/>
      <c r="AQ35" s="149">
        <f>IF(AR32="","",IF(AR32="y",3,IF(AR33="y",2,IF(AR34="y",1,IF(AR35="y",0,0)))))</f>
        <v>0</v>
      </c>
      <c r="AR35" s="725" t="s">
        <v>222</v>
      </c>
      <c r="AS35" s="269"/>
      <c r="AT35" s="290"/>
      <c r="AU35" s="290"/>
      <c r="AV35" s="455" t="str">
        <f>IF(AQ$27="","",IF(AY35&lt;&gt;"",AZ35,AV18))</f>
        <v>Gunter Bauer</v>
      </c>
      <c r="AW35" s="725" t="s">
        <v>222</v>
      </c>
      <c r="AX35" s="268"/>
      <c r="AY35" s="930"/>
      <c r="AZ35" s="1093" t="str">
        <f t="shared" si="143"/>
        <v/>
      </c>
      <c r="BA35" s="1094"/>
      <c r="BB35" s="1094"/>
      <c r="BC35" s="1094"/>
      <c r="BD35" s="1095"/>
      <c r="BO35" s="8">
        <f>$M35</f>
        <v>0</v>
      </c>
      <c r="BT35" s="8">
        <f>$AB35</f>
        <v>1</v>
      </c>
      <c r="BY35" s="8">
        <f>$AQ35</f>
        <v>0</v>
      </c>
      <c r="CA35" s="16"/>
      <c r="CB35" s="13">
        <v>4</v>
      </c>
      <c r="CG35" s="13">
        <v>9</v>
      </c>
      <c r="CH35" s="13" t="str">
        <f t="shared" si="117"/>
        <v>Hans Weber</v>
      </c>
      <c r="CI35" s="14">
        <f t="shared" si="82"/>
        <v>5</v>
      </c>
      <c r="CU35" s="13">
        <f t="shared" si="118"/>
        <v>2</v>
      </c>
      <c r="CV35" s="13">
        <f t="shared" si="83"/>
        <v>1</v>
      </c>
      <c r="CW35" s="13" t="str">
        <f t="shared" si="83"/>
        <v>Daniil Ivanov</v>
      </c>
      <c r="CX35" s="13">
        <f t="shared" si="83"/>
        <v>3</v>
      </c>
      <c r="CY35" s="13">
        <f t="shared" si="83"/>
        <v>3</v>
      </c>
      <c r="CZ35" s="13">
        <f t="shared" si="83"/>
        <v>3</v>
      </c>
      <c r="DA35" s="13">
        <f t="shared" si="83"/>
        <v>2</v>
      </c>
      <c r="DC35" s="13">
        <f t="shared" si="119"/>
        <v>11</v>
      </c>
      <c r="DD35" s="243">
        <f t="shared" si="84"/>
        <v>3</v>
      </c>
      <c r="DE35" s="236">
        <f t="shared" si="120"/>
        <v>0.03</v>
      </c>
      <c r="DF35" s="232">
        <f t="shared" si="85"/>
        <v>1</v>
      </c>
      <c r="DG35" s="234">
        <f t="shared" si="121"/>
        <v>1E-3</v>
      </c>
      <c r="DH35" s="232">
        <f t="shared" si="86"/>
        <v>0</v>
      </c>
      <c r="DI35" s="41">
        <f t="shared" si="122"/>
        <v>0</v>
      </c>
      <c r="DJ35" s="271">
        <f t="shared" si="87"/>
        <v>0</v>
      </c>
      <c r="DK35" s="273">
        <f t="shared" si="88"/>
        <v>0</v>
      </c>
      <c r="DL35" s="281">
        <f t="shared" si="89"/>
        <v>0</v>
      </c>
      <c r="DM35" s="239">
        <f t="shared" si="90"/>
        <v>5.8999999999999996E-7</v>
      </c>
      <c r="DN35" s="285">
        <f t="shared" si="91"/>
        <v>11.030999999999999</v>
      </c>
      <c r="DO35" s="285">
        <f t="shared" si="92"/>
        <v>11.030999999999999</v>
      </c>
      <c r="DP35" s="285">
        <f t="shared" si="93"/>
        <v>11.03100059</v>
      </c>
      <c r="DQ35" s="597"/>
      <c r="DR35" s="205" t="str">
        <f t="shared" si="123"/>
        <v/>
      </c>
      <c r="DS35" s="4" t="str">
        <f t="shared" si="136"/>
        <v/>
      </c>
      <c r="DT35" s="4" t="str">
        <f t="shared" si="138"/>
        <v/>
      </c>
      <c r="DU35" s="4" t="str">
        <f t="shared" si="140"/>
        <v/>
      </c>
      <c r="DV35" s="4" t="str">
        <f t="shared" si="144"/>
        <v/>
      </c>
      <c r="DW35" s="4" t="str">
        <f t="shared" si="147"/>
        <v/>
      </c>
      <c r="DX35" s="4" t="str">
        <f t="shared" si="149"/>
        <v/>
      </c>
      <c r="DY35" s="4" t="str">
        <f t="shared" ref="DY35:DY42" si="152">IF($FO35=$FO$34,$CV11,"")</f>
        <v/>
      </c>
      <c r="DZ35" s="208"/>
      <c r="EA35" s="4" t="str">
        <f t="shared" si="97"/>
        <v/>
      </c>
      <c r="EB35" s="4" t="str">
        <f t="shared" si="98"/>
        <v/>
      </c>
      <c r="EC35" s="4" t="str">
        <f t="shared" si="99"/>
        <v/>
      </c>
      <c r="ED35" s="4" t="str">
        <f t="shared" si="100"/>
        <v/>
      </c>
      <c r="EE35" s="4" t="str">
        <f t="shared" si="101"/>
        <v/>
      </c>
      <c r="EF35" s="4" t="str">
        <f t="shared" si="102"/>
        <v/>
      </c>
      <c r="EG35" s="225" t="str">
        <f t="shared" si="103"/>
        <v/>
      </c>
      <c r="EH35" s="215">
        <f>$AG$2</f>
        <v>1</v>
      </c>
      <c r="EI35" s="205" t="str">
        <f>IF(DR$35="","",FT$11)</f>
        <v/>
      </c>
      <c r="EJ35" s="4" t="str">
        <f t="shared" ref="EJ35:EX35" si="153">IF(DS$35="","",FU$11)</f>
        <v/>
      </c>
      <c r="EK35" s="4" t="str">
        <f t="shared" si="153"/>
        <v/>
      </c>
      <c r="EL35" s="4" t="str">
        <f t="shared" si="153"/>
        <v/>
      </c>
      <c r="EM35" s="4" t="str">
        <f t="shared" si="153"/>
        <v/>
      </c>
      <c r="EN35" s="4" t="str">
        <f t="shared" si="153"/>
        <v/>
      </c>
      <c r="EO35" s="4" t="str">
        <f t="shared" si="153"/>
        <v/>
      </c>
      <c r="EP35" s="4" t="str">
        <f t="shared" si="153"/>
        <v/>
      </c>
      <c r="EQ35" s="208"/>
      <c r="ER35" s="4" t="str">
        <f t="shared" si="153"/>
        <v/>
      </c>
      <c r="ES35" s="4" t="str">
        <f t="shared" si="153"/>
        <v/>
      </c>
      <c r="ET35" s="4" t="str">
        <f t="shared" si="153"/>
        <v/>
      </c>
      <c r="EU35" s="4" t="str">
        <f t="shared" si="153"/>
        <v/>
      </c>
      <c r="EV35" s="4" t="str">
        <f t="shared" si="153"/>
        <v/>
      </c>
      <c r="EW35" s="4" t="str">
        <f t="shared" si="153"/>
        <v/>
      </c>
      <c r="EX35" s="225" t="str">
        <f t="shared" si="153"/>
        <v/>
      </c>
      <c r="EY35" s="230">
        <f t="shared" si="125"/>
        <v>0</v>
      </c>
      <c r="EZ35" s="13">
        <f t="shared" si="105"/>
        <v>2</v>
      </c>
      <c r="FA35" s="673">
        <f t="shared" si="106"/>
        <v>1</v>
      </c>
      <c r="FB35" s="654" t="str">
        <f t="shared" si="107"/>
        <v>Daniil Ivanov</v>
      </c>
      <c r="FC35" s="655">
        <f t="shared" si="126"/>
        <v>13</v>
      </c>
      <c r="FD35" s="655">
        <f t="shared" si="127"/>
        <v>1</v>
      </c>
      <c r="FE35" s="655">
        <f t="shared" si="108"/>
        <v>2</v>
      </c>
      <c r="FF35" s="655">
        <f t="shared" si="128"/>
        <v>2</v>
      </c>
      <c r="FG35" s="658">
        <f t="shared" si="109"/>
        <v>2</v>
      </c>
      <c r="FH35" s="656">
        <f t="shared" si="129"/>
        <v>17</v>
      </c>
      <c r="FI35" s="660">
        <f t="shared" si="130"/>
        <v>13.032</v>
      </c>
      <c r="FJ35" s="663">
        <f t="shared" si="131"/>
        <v>3.2000000000000028E-2</v>
      </c>
      <c r="FK35" s="726">
        <f t="shared" si="132"/>
        <v>0</v>
      </c>
      <c r="FL35" s="726">
        <f t="shared" si="133"/>
        <v>1E-3</v>
      </c>
      <c r="FM35" s="726">
        <f t="shared" si="110"/>
        <v>0</v>
      </c>
      <c r="FN35" s="665">
        <f t="shared" si="134"/>
        <v>0</v>
      </c>
      <c r="FO35" s="665">
        <f t="shared" si="151"/>
        <v>17.033000000000001</v>
      </c>
      <c r="FP35" s="726">
        <f t="shared" si="112"/>
        <v>0</v>
      </c>
      <c r="FQ35" s="316">
        <f t="shared" si="113"/>
        <v>0</v>
      </c>
      <c r="FR35" s="13">
        <f t="shared" si="114"/>
        <v>1</v>
      </c>
      <c r="FS35" s="290">
        <f t="shared" si="135"/>
        <v>0</v>
      </c>
      <c r="FT35" s="1192">
        <f>IF(FF35=2,SUM((FG35*10)+20),IF(FR35&gt;0,SUM(FO35+SUM(FS35/10000)+SUM(EY35/1000000))))</f>
        <v>40</v>
      </c>
      <c r="FU35" s="1192"/>
      <c r="FV35" s="1192"/>
      <c r="FW35" s="1192"/>
      <c r="FX35" s="737">
        <f t="shared" si="116"/>
        <v>5.8999999999999996E-7</v>
      </c>
      <c r="FY35" s="1114">
        <f t="shared" si="146"/>
        <v>40.000000589999999</v>
      </c>
      <c r="FZ35" s="1114"/>
      <c r="GA35" s="1114"/>
      <c r="GB35" s="1114"/>
      <c r="GC35" s="1114"/>
      <c r="GD35"/>
      <c r="GE35"/>
      <c r="GF35"/>
      <c r="GG35"/>
      <c r="GH35" s="290"/>
      <c r="GJ35" s="290"/>
      <c r="GK35" s="627">
        <f>AG39</f>
        <v>5</v>
      </c>
      <c r="GL35" s="639">
        <f>IF(AQ39&gt;AQ36,GK35,IF(AQ39&lt;AQ36,GL31,""))</f>
        <v>3</v>
      </c>
      <c r="GM35" s="640">
        <f>IF(AQ39&gt;AQ37,GK35,IF(AQ39&lt;AQ37,GM31,""))</f>
        <v>1</v>
      </c>
      <c r="GN35" s="640">
        <f>IF(AQ39&gt;AQ38,GK35,IF(AQ39&lt;AQ38,GN31,""))</f>
        <v>11</v>
      </c>
      <c r="GO35" s="630" t="s">
        <v>197</v>
      </c>
      <c r="GP35" s="684">
        <f>COUNTIF(GL35:GO35,GK35)</f>
        <v>0</v>
      </c>
      <c r="GW35" s="1145"/>
      <c r="GX35" s="231">
        <f>IF($N$32="","",IF($IW$35=$GX$3,$IX$35,IF(AND($H$35=$GX$3,$L$35&lt;&gt;""),$L$35,IF(AND($H$35=$GX$3,$L$35=""),$M$35,""))))</f>
        <v>0</v>
      </c>
      <c r="GY35" s="302">
        <v>57</v>
      </c>
      <c r="GZ35" s="303">
        <f t="shared" si="77"/>
        <v>57</v>
      </c>
      <c r="HA35" s="98">
        <f t="shared" si="68"/>
        <v>2</v>
      </c>
      <c r="HB35" s="303"/>
      <c r="HC35" s="98">
        <f t="shared" si="78"/>
        <v>0</v>
      </c>
      <c r="HG35" s="1145"/>
      <c r="HH35" s="231" t="str">
        <f>IF($N$32="","",IF($IW$35=$HH$3,$IX$35,IF(AND($H$35=$HH$3,$L$35&lt;&gt;""),$L$35,IF(AND($H$35=$HH$3,$L$35=""),$M$35,""))))</f>
        <v/>
      </c>
      <c r="HI35" s="302">
        <v>57</v>
      </c>
      <c r="HJ35" s="303" t="str">
        <f t="shared" si="79"/>
        <v/>
      </c>
      <c r="HK35" s="98" t="str">
        <f t="shared" si="69"/>
        <v/>
      </c>
      <c r="HL35" s="303"/>
      <c r="HM35" s="98" t="str">
        <f t="shared" si="70"/>
        <v/>
      </c>
      <c r="HN35" s="1150">
        <v>5</v>
      </c>
      <c r="HO35" s="131" t="str">
        <f>IF($H31="",$D31,$H31)</f>
        <v>Daniil Ivanov</v>
      </c>
      <c r="HP35" s="327"/>
      <c r="HQ35" s="327" t="str">
        <f>IF($L31="","",$L31)</f>
        <v/>
      </c>
      <c r="HR35" s="327">
        <v>0.01</v>
      </c>
      <c r="HS35" s="458">
        <f>IF($M31="","",SUM(HR35+$M31))</f>
        <v>3.01</v>
      </c>
      <c r="HT35" s="327">
        <f>RANK(HS35,HS32:HS35)</f>
        <v>1</v>
      </c>
      <c r="HU35" s="327" t="str">
        <f>IF(HQ35="",HO35,HO35&amp;" ("&amp;HQ35&amp;")")</f>
        <v>Daniil Ivanov</v>
      </c>
      <c r="HV35" s="328">
        <v>4</v>
      </c>
      <c r="HW35" s="337" t="str">
        <f>IF(N28="","",VLOOKUP(HV35,HT32:HU35,2,FALSE))</f>
        <v>Per-Anders Lindstrom</v>
      </c>
      <c r="HX35" s="1150">
        <v>13</v>
      </c>
      <c r="HY35" s="131" t="str">
        <f>IF($W31="",$S31,$W31)</f>
        <v>Per-Anders Lindstrom</v>
      </c>
      <c r="HZ35" s="327"/>
      <c r="IA35" s="327" t="str">
        <f>IF($AA31="","",$AA31)</f>
        <v/>
      </c>
      <c r="IB35" s="327">
        <v>0.01</v>
      </c>
      <c r="IC35" s="458">
        <f>IF($AB31="","",SUM(IB35+$AB31))</f>
        <v>1.01</v>
      </c>
      <c r="ID35" s="327">
        <f>RANK(IC35,IC32:IC35)</f>
        <v>3</v>
      </c>
      <c r="IE35" s="327" t="str">
        <f>IF(IA35="",HY35,HY35&amp;" ("&amp;IA35&amp;")")</f>
        <v>Per-Anders Lindstrom</v>
      </c>
      <c r="IF35" s="344">
        <v>4</v>
      </c>
      <c r="IG35" s="337" t="str">
        <f>IF(AC28="","",VLOOKUP(IF35,ID32:IE35,2,FALSE))</f>
        <v>Stefan Pletschacher</v>
      </c>
      <c r="IH35"/>
      <c r="II35"/>
      <c r="IJ35"/>
      <c r="IK35"/>
      <c r="IL35"/>
      <c r="IM35"/>
      <c r="IN35"/>
      <c r="IO35"/>
      <c r="IP35"/>
      <c r="IQ35"/>
      <c r="IR35"/>
      <c r="IU35" s="1113"/>
      <c r="IV35" s="702"/>
      <c r="IW35" s="703" t="str">
        <f t="shared" si="71"/>
        <v/>
      </c>
      <c r="IX35" s="704"/>
      <c r="IZ35" s="1113"/>
      <c r="JA35" s="702"/>
      <c r="JB35" s="703" t="str">
        <f t="shared" si="72"/>
        <v/>
      </c>
      <c r="JC35" s="704"/>
      <c r="JE35" s="705"/>
      <c r="JF35" s="705"/>
      <c r="JG35" s="705"/>
      <c r="JH35" s="705"/>
    </row>
    <row r="36" spans="1:268" ht="12.75" customHeight="1" thickBot="1">
      <c r="A36" s="1211">
        <v>7</v>
      </c>
      <c r="B36" s="329">
        <v>11</v>
      </c>
      <c r="C36" s="106">
        <f>AG$4</f>
        <v>15</v>
      </c>
      <c r="D36" s="516" t="str">
        <f>AH$4</f>
        <v>Harald Simon</v>
      </c>
      <c r="E36" s="1010"/>
      <c r="F36" s="524" t="str">
        <f t="shared" si="52"/>
        <v/>
      </c>
      <c r="G36" s="1018"/>
      <c r="H36" s="1210" t="str">
        <f t="shared" si="53"/>
        <v/>
      </c>
      <c r="I36" s="1210"/>
      <c r="J36" s="1210"/>
      <c r="K36" s="1210"/>
      <c r="L36" s="510"/>
      <c r="M36" s="93">
        <f>IF(N36="","",IF(N36="R",3,IF(N37="R",2,IF(N38="R",1,IF(N39="R",0,0)))))</f>
        <v>0</v>
      </c>
      <c r="N36" s="706" t="s">
        <v>46</v>
      </c>
      <c r="O36" s="268"/>
      <c r="P36" s="1211">
        <v>15</v>
      </c>
      <c r="Q36" s="329">
        <v>16</v>
      </c>
      <c r="R36" s="106">
        <f>AG$9</f>
        <v>5</v>
      </c>
      <c r="S36" s="516" t="str">
        <f>AH$9</f>
        <v>Stefan Svensson</v>
      </c>
      <c r="T36" s="1010"/>
      <c r="U36" s="524" t="str">
        <f t="shared" si="80"/>
        <v/>
      </c>
      <c r="V36" s="1018"/>
      <c r="W36" s="1210" t="str">
        <f t="shared" si="54"/>
        <v/>
      </c>
      <c r="X36" s="1210"/>
      <c r="Y36" s="1210"/>
      <c r="Z36" s="1210"/>
      <c r="AA36" s="510"/>
      <c r="AB36" s="93">
        <f>IF(AC36="","",IF(AC36="R",3,IF(AC37="R",2,IF(AC38="R",1,IF(AC39="R",0,0)))))</f>
        <v>2</v>
      </c>
      <c r="AC36" s="723" t="s">
        <v>46</v>
      </c>
      <c r="AD36" s="269"/>
      <c r="AE36" s="1216" t="s">
        <v>62</v>
      </c>
      <c r="AF36" s="106"/>
      <c r="AG36" s="106">
        <f t="shared" si="142"/>
        <v>3</v>
      </c>
      <c r="AH36" s="516" t="str">
        <f>IF(AW36="R",AV36,IF(AW37="R",AV37,IF(AW38="R",AV38,IF(AW39="R",AV39,""))))</f>
        <v>Dimitry Khomitsevich</v>
      </c>
      <c r="AI36" s="521"/>
      <c r="AJ36" s="521"/>
      <c r="AK36" s="530"/>
      <c r="AL36" s="1214"/>
      <c r="AM36" s="1214"/>
      <c r="AN36" s="1214"/>
      <c r="AO36" s="1214"/>
      <c r="AP36" s="510"/>
      <c r="AQ36" s="93">
        <f>IF(AR36="","",IF(AR36="R",3,IF(AR37="R",2,IF(AR38="R",1,IF(AR39="R",0,0)))))</f>
        <v>3</v>
      </c>
      <c r="AR36" s="723" t="s">
        <v>12</v>
      </c>
      <c r="AS36" s="269"/>
      <c r="AT36" s="290"/>
      <c r="AU36" s="290"/>
      <c r="AV36" s="453" t="str">
        <f>IF(AQ$27="","",IF(AY36&lt;&gt;"",AZ36,AV13))</f>
        <v>Dimitry Khomitsevich</v>
      </c>
      <c r="AW36" s="723" t="s">
        <v>12</v>
      </c>
      <c r="AX36" s="268"/>
      <c r="AY36" s="928"/>
      <c r="AZ36" s="1087" t="str">
        <f t="shared" si="143"/>
        <v/>
      </c>
      <c r="BA36" s="1088"/>
      <c r="BB36" s="1088"/>
      <c r="BC36" s="1088"/>
      <c r="BD36" s="1089"/>
      <c r="BL36" s="8">
        <f>$M36</f>
        <v>0</v>
      </c>
      <c r="BQ36" s="8">
        <f>$AB36</f>
        <v>2</v>
      </c>
      <c r="BV36" s="8">
        <f>$AQ36</f>
        <v>3</v>
      </c>
      <c r="BY36" s="8"/>
      <c r="CA36" s="16"/>
      <c r="CB36" s="13">
        <v>1</v>
      </c>
      <c r="CG36" s="13">
        <v>10</v>
      </c>
      <c r="CH36" s="13" t="str">
        <f t="shared" si="117"/>
        <v>Harald Simon</v>
      </c>
      <c r="CI36" s="14">
        <f t="shared" si="82"/>
        <v>4</v>
      </c>
      <c r="CU36" s="13">
        <f t="shared" si="118"/>
        <v>9</v>
      </c>
      <c r="CV36" s="13">
        <f t="shared" si="83"/>
        <v>12</v>
      </c>
      <c r="CW36" s="13" t="str">
        <f t="shared" si="83"/>
        <v>Hans Weber</v>
      </c>
      <c r="CX36" s="13">
        <f t="shared" si="83"/>
        <v>0</v>
      </c>
      <c r="CY36" s="13">
        <f t="shared" si="83"/>
        <v>2</v>
      </c>
      <c r="CZ36" s="13">
        <f t="shared" si="83"/>
        <v>2</v>
      </c>
      <c r="DA36" s="13">
        <f t="shared" si="83"/>
        <v>1</v>
      </c>
      <c r="DC36" s="13">
        <f t="shared" si="119"/>
        <v>5</v>
      </c>
      <c r="DD36" s="243">
        <f t="shared" si="84"/>
        <v>0</v>
      </c>
      <c r="DE36" s="236">
        <f t="shared" si="120"/>
        <v>0</v>
      </c>
      <c r="DF36" s="232">
        <f t="shared" si="85"/>
        <v>2</v>
      </c>
      <c r="DG36" s="234">
        <f t="shared" si="121"/>
        <v>2E-3</v>
      </c>
      <c r="DH36" s="232">
        <f t="shared" si="86"/>
        <v>1</v>
      </c>
      <c r="DI36" s="41">
        <f t="shared" si="122"/>
        <v>1E-4</v>
      </c>
      <c r="DJ36" s="271">
        <f t="shared" si="87"/>
        <v>1</v>
      </c>
      <c r="DK36" s="273">
        <f t="shared" si="88"/>
        <v>1.0000000000000001E-5</v>
      </c>
      <c r="DL36" s="281">
        <f t="shared" si="89"/>
        <v>0</v>
      </c>
      <c r="DM36" s="238">
        <f t="shared" si="90"/>
        <v>4.7999999999999996E-7</v>
      </c>
      <c r="DN36" s="284">
        <f t="shared" si="91"/>
        <v>5.0021099999999992</v>
      </c>
      <c r="DO36" s="284">
        <f t="shared" si="92"/>
        <v>5.0021099999999992</v>
      </c>
      <c r="DP36" s="284">
        <f t="shared" si="93"/>
        <v>5.0021104799999989</v>
      </c>
      <c r="DQ36" s="597"/>
      <c r="DR36" s="205" t="str">
        <f t="shared" si="123"/>
        <v/>
      </c>
      <c r="DS36" s="4" t="str">
        <f t="shared" si="136"/>
        <v/>
      </c>
      <c r="DT36" s="4" t="str">
        <f t="shared" si="138"/>
        <v/>
      </c>
      <c r="DU36" s="4" t="str">
        <f t="shared" si="140"/>
        <v/>
      </c>
      <c r="DV36" s="4" t="str">
        <f t="shared" si="144"/>
        <v/>
      </c>
      <c r="DW36" s="4" t="str">
        <f t="shared" si="147"/>
        <v/>
      </c>
      <c r="DX36" s="4" t="str">
        <f t="shared" si="149"/>
        <v/>
      </c>
      <c r="DY36" s="4" t="str">
        <f t="shared" si="152"/>
        <v/>
      </c>
      <c r="DZ36" s="4" t="str">
        <f t="shared" ref="DZ36:DZ42" si="154">IF($FO36=$FO$35,$CV12,"")</f>
        <v/>
      </c>
      <c r="EA36" s="208"/>
      <c r="EB36" s="4" t="str">
        <f t="shared" si="98"/>
        <v/>
      </c>
      <c r="EC36" s="4" t="str">
        <f t="shared" si="99"/>
        <v/>
      </c>
      <c r="ED36" s="4" t="str">
        <f t="shared" si="100"/>
        <v/>
      </c>
      <c r="EE36" s="4" t="str">
        <f t="shared" si="101"/>
        <v/>
      </c>
      <c r="EF36" s="4" t="str">
        <f t="shared" si="102"/>
        <v/>
      </c>
      <c r="EG36" s="225" t="str">
        <f t="shared" si="103"/>
        <v/>
      </c>
      <c r="EH36" s="215">
        <f>$AG$3</f>
        <v>12</v>
      </c>
      <c r="EI36" s="205" t="str">
        <f>IF(DR$36="","",FT$12)</f>
        <v/>
      </c>
      <c r="EJ36" s="4" t="str">
        <f t="shared" ref="EJ36:EX36" si="155">IF(DS$36="","",FU$12)</f>
        <v/>
      </c>
      <c r="EK36" s="4" t="str">
        <f t="shared" si="155"/>
        <v/>
      </c>
      <c r="EL36" s="4" t="str">
        <f t="shared" si="155"/>
        <v/>
      </c>
      <c r="EM36" s="4" t="str">
        <f t="shared" si="155"/>
        <v/>
      </c>
      <c r="EN36" s="4" t="str">
        <f t="shared" si="155"/>
        <v/>
      </c>
      <c r="EO36" s="4" t="str">
        <f t="shared" si="155"/>
        <v/>
      </c>
      <c r="EP36" s="4" t="str">
        <f t="shared" si="155"/>
        <v/>
      </c>
      <c r="EQ36" s="4" t="str">
        <f t="shared" si="155"/>
        <v/>
      </c>
      <c r="ER36" s="208"/>
      <c r="ES36" s="4" t="str">
        <f t="shared" si="155"/>
        <v/>
      </c>
      <c r="ET36" s="4" t="str">
        <f t="shared" si="155"/>
        <v/>
      </c>
      <c r="EU36" s="4" t="str">
        <f t="shared" si="155"/>
        <v/>
      </c>
      <c r="EV36" s="4" t="str">
        <f t="shared" si="155"/>
        <v/>
      </c>
      <c r="EW36" s="4" t="str">
        <f t="shared" si="155"/>
        <v/>
      </c>
      <c r="EX36" s="225" t="str">
        <f t="shared" si="155"/>
        <v/>
      </c>
      <c r="EY36" s="230">
        <f t="shared" si="125"/>
        <v>0</v>
      </c>
      <c r="EZ36" s="13">
        <f t="shared" si="105"/>
        <v>9</v>
      </c>
      <c r="FA36" s="673">
        <f t="shared" si="106"/>
        <v>12</v>
      </c>
      <c r="FB36" s="666" t="str">
        <f t="shared" si="107"/>
        <v>Hans Weber</v>
      </c>
      <c r="FC36" s="667">
        <f t="shared" si="126"/>
        <v>6</v>
      </c>
      <c r="FD36" s="667">
        <f t="shared" si="127"/>
        <v>0</v>
      </c>
      <c r="FE36" s="667">
        <f t="shared" si="108"/>
        <v>0</v>
      </c>
      <c r="FF36" s="667">
        <f t="shared" si="128"/>
        <v>0</v>
      </c>
      <c r="FG36" s="668">
        <f t="shared" si="109"/>
        <v>0</v>
      </c>
      <c r="FH36" s="669">
        <f t="shared" si="129"/>
        <v>6</v>
      </c>
      <c r="FI36" s="733">
        <f t="shared" si="130"/>
        <v>6.0022099999999998</v>
      </c>
      <c r="FJ36" s="671">
        <f t="shared" si="131"/>
        <v>2.2099999999998232E-3</v>
      </c>
      <c r="FK36" s="672">
        <f t="shared" si="132"/>
        <v>0</v>
      </c>
      <c r="FL36" s="672">
        <f t="shared" si="133"/>
        <v>0</v>
      </c>
      <c r="FM36" s="672">
        <f t="shared" si="110"/>
        <v>0</v>
      </c>
      <c r="FN36" s="674">
        <f t="shared" si="134"/>
        <v>0</v>
      </c>
      <c r="FO36" s="674">
        <f t="shared" si="151"/>
        <v>6.0022099999999998</v>
      </c>
      <c r="FP36" s="672">
        <f t="shared" si="112"/>
        <v>0</v>
      </c>
      <c r="FQ36" s="685">
        <f t="shared" si="113"/>
        <v>0</v>
      </c>
      <c r="FR36" s="58">
        <f t="shared" si="114"/>
        <v>1</v>
      </c>
      <c r="FS36" s="289">
        <f t="shared" si="135"/>
        <v>0</v>
      </c>
      <c r="FT36" s="1196">
        <f t="shared" ref="FT36:FT44" si="156">IF(FF36=2,SUM((FG36*10)+20),IF(FR36&gt;0,SUM(FO36+SUM(FS36/10000)+SUM(EY36/1000000))))</f>
        <v>6.0022099999999998</v>
      </c>
      <c r="FU36" s="1196"/>
      <c r="FV36" s="1196"/>
      <c r="FW36" s="1196"/>
      <c r="FX36" s="727">
        <f t="shared" si="116"/>
        <v>4.7999999999999996E-7</v>
      </c>
      <c r="FY36" s="1193">
        <f t="shared" si="146"/>
        <v>6.0022104799999996</v>
      </c>
      <c r="FZ36" s="1193"/>
      <c r="GA36" s="1193"/>
      <c r="GB36" s="1193"/>
      <c r="GC36" s="1193"/>
      <c r="GD36"/>
      <c r="GE36"/>
      <c r="GF36"/>
      <c r="GG36"/>
      <c r="GH36" s="290"/>
      <c r="GJ36" s="290"/>
      <c r="GW36" s="1143">
        <v>7</v>
      </c>
      <c r="GX36" s="229" t="str">
        <f>IF($N$36="","",IF($IW$36=$GX$3,$IX$36,IF(AND($H$36=$GX$3,$L$36&lt;&gt;""),$L$36,IF(AND($H$36=$GX$3,$L$36=""),$M$36,""))))</f>
        <v/>
      </c>
      <c r="GY36" s="299">
        <v>56</v>
      </c>
      <c r="GZ36" s="300" t="str">
        <f t="shared" si="77"/>
        <v/>
      </c>
      <c r="HA36" s="93" t="str">
        <f t="shared" si="68"/>
        <v/>
      </c>
      <c r="HB36" s="300"/>
      <c r="HC36" s="93" t="str">
        <f t="shared" si="78"/>
        <v/>
      </c>
      <c r="HG36" s="1143">
        <v>7</v>
      </c>
      <c r="HH36" s="229" t="str">
        <f>IF($N$36="","",IF($IW$36=$HH$3,$IX$36,IF(AND($H$36=$HH$3,$L$36&lt;&gt;""),$L$36,IF(AND($H$36=$HH$3,$L$36=""),$M$36,""))))</f>
        <v/>
      </c>
      <c r="HI36" s="299">
        <v>56</v>
      </c>
      <c r="HJ36" s="300" t="str">
        <f t="shared" si="79"/>
        <v/>
      </c>
      <c r="HK36" s="93" t="str">
        <f t="shared" si="69"/>
        <v/>
      </c>
      <c r="HL36" s="300"/>
      <c r="HM36" s="93" t="str">
        <f t="shared" si="70"/>
        <v/>
      </c>
      <c r="HN36" s="355" t="str">
        <f>IF($A31="","",$A31)</f>
        <v>60,28</v>
      </c>
      <c r="HO36" s="356" t="str">
        <f>IF($H28&lt;&gt;"",$D28,IF($H29&lt;&gt;"",$D29,IF($H30&lt;&gt;"",$D30,IF($H31&lt;&gt;"",$D31,""))))</f>
        <v/>
      </c>
      <c r="HP36" s="357" t="str">
        <f>IF(HO36="","",VLOOKUP($HO36,$CW$3:$DB$18,3,FALSE))</f>
        <v/>
      </c>
      <c r="HQ36" s="357"/>
      <c r="HR36" s="338"/>
      <c r="HS36" s="338">
        <v>5</v>
      </c>
      <c r="HT36" s="338"/>
      <c r="HU36" s="356" t="str">
        <f>IF(HO36="","",HO36&amp;" ("&amp;HP36&amp;")")</f>
        <v/>
      </c>
      <c r="HV36" s="358">
        <v>5</v>
      </c>
      <c r="HW36" s="339" t="str">
        <f>IF(HU36="","",HU36)</f>
        <v/>
      </c>
      <c r="HX36" s="355" t="str">
        <f>IF($P31="","",$P31)</f>
        <v>61,34</v>
      </c>
      <c r="HY36" s="356" t="str">
        <f>IF($W28&lt;&gt;"",$S28,IF($W29&lt;&gt;"",$S29,IF($W30&lt;&gt;"",$S30,IF($W31&lt;&gt;"",$S31,""))))</f>
        <v/>
      </c>
      <c r="HZ36" s="338" t="str">
        <f>IF(HY36="","",VLOOKUP($HY36,$CW$3:$DB$18,5,FALSE))</f>
        <v/>
      </c>
      <c r="IA36" s="357"/>
      <c r="IB36" s="338"/>
      <c r="IC36" s="338">
        <v>5</v>
      </c>
      <c r="ID36" s="338"/>
      <c r="IE36" s="356" t="str">
        <f>IF(HY36="","",HY36&amp;" ("&amp;HZ36&amp;")")</f>
        <v/>
      </c>
      <c r="IF36" s="359">
        <v>5</v>
      </c>
      <c r="IG36" s="339" t="str">
        <f>IF(IE36="","",IE36)</f>
        <v/>
      </c>
      <c r="IH36"/>
      <c r="II36"/>
      <c r="IJ36"/>
      <c r="IK36"/>
      <c r="IL36"/>
      <c r="IM36"/>
      <c r="IN36"/>
      <c r="IO36"/>
      <c r="IP36"/>
      <c r="IQ36"/>
      <c r="IR36"/>
      <c r="IU36" s="1111">
        <v>7</v>
      </c>
      <c r="IV36" s="695"/>
      <c r="IW36" s="696" t="str">
        <f t="shared" si="71"/>
        <v/>
      </c>
      <c r="IX36" s="697"/>
      <c r="IZ36" s="1111">
        <v>15</v>
      </c>
      <c r="JA36" s="695"/>
      <c r="JB36" s="696" t="str">
        <f t="shared" si="72"/>
        <v/>
      </c>
      <c r="JC36" s="697"/>
      <c r="JE36" s="705"/>
      <c r="JF36" s="705"/>
      <c r="JG36" s="705"/>
      <c r="JH36" s="705"/>
    </row>
    <row r="37" spans="1:268" ht="12.75" customHeight="1">
      <c r="A37" s="1212"/>
      <c r="B37" s="39">
        <v>15</v>
      </c>
      <c r="C37" s="101">
        <f>AG$8</f>
        <v>2</v>
      </c>
      <c r="D37" s="517" t="str">
        <f>AH$8</f>
        <v>Dimitry Koltakov</v>
      </c>
      <c r="E37" s="1011"/>
      <c r="F37" s="525" t="str">
        <f t="shared" si="52"/>
        <v/>
      </c>
      <c r="G37" s="1019"/>
      <c r="H37" s="1198" t="str">
        <f t="shared" si="53"/>
        <v/>
      </c>
      <c r="I37" s="1198"/>
      <c r="J37" s="1198"/>
      <c r="K37" s="1198"/>
      <c r="L37" s="508"/>
      <c r="M37" s="146">
        <f>IF(N36="","",IF(N36="B",3,IF(N37="B",2,IF(N38="B",1,IF(N39="B",0,0)))))</f>
        <v>3</v>
      </c>
      <c r="N37" s="707" t="s">
        <v>221</v>
      </c>
      <c r="O37" s="268"/>
      <c r="P37" s="1212"/>
      <c r="Q37" s="39">
        <v>3</v>
      </c>
      <c r="R37" s="101">
        <f>R$4</f>
        <v>10</v>
      </c>
      <c r="S37" s="517" t="str">
        <f>S$4</f>
        <v>Franz Zorn</v>
      </c>
      <c r="T37" s="1011"/>
      <c r="U37" s="525" t="str">
        <f t="shared" si="80"/>
        <v/>
      </c>
      <c r="V37" s="1019"/>
      <c r="W37" s="1198" t="str">
        <f t="shared" si="54"/>
        <v/>
      </c>
      <c r="X37" s="1198"/>
      <c r="Y37" s="1198"/>
      <c r="Z37" s="1198"/>
      <c r="AA37" s="508"/>
      <c r="AB37" s="146">
        <f>IF(AC36="","",IF(AC36="B",3,IF(AC37="B",2,IF(AC38="B",1,IF(AC39="B",0,0)))))</f>
        <v>3</v>
      </c>
      <c r="AC37" s="724" t="s">
        <v>12</v>
      </c>
      <c r="AD37" s="269"/>
      <c r="AE37" s="1217"/>
      <c r="AF37" s="101"/>
      <c r="AG37" s="101">
        <f t="shared" si="142"/>
        <v>1</v>
      </c>
      <c r="AH37" s="517" t="str">
        <f>IF(AW36="B",AV36,IF(AW37="B",AV37,IF(AW38="B",AV38,IF(AW39="B",AV39,""))))</f>
        <v>Daniil Ivanov</v>
      </c>
      <c r="AI37" s="522"/>
      <c r="AJ37" s="522"/>
      <c r="AK37" s="531"/>
      <c r="AL37" s="1215"/>
      <c r="AM37" s="1215"/>
      <c r="AN37" s="1215"/>
      <c r="AO37" s="1215"/>
      <c r="AP37" s="508"/>
      <c r="AQ37" s="146">
        <f>IF(AR36="","",IF(AR36="B",3,IF(AR37="B",2,IF(AR38="B",1,IF(AR39="B",0,0)))))</f>
        <v>2</v>
      </c>
      <c r="AR37" s="724" t="s">
        <v>46</v>
      </c>
      <c r="AS37" s="269"/>
      <c r="AT37" s="290"/>
      <c r="AU37" s="290"/>
      <c r="AV37" s="454" t="str">
        <f>IF(AQ$27="","",IF(AY37&lt;&gt;"",AZ37,AV14))</f>
        <v>Daniil Ivanov</v>
      </c>
      <c r="AW37" s="724" t="s">
        <v>46</v>
      </c>
      <c r="AX37" s="268"/>
      <c r="AY37" s="929"/>
      <c r="AZ37" s="1090" t="str">
        <f t="shared" si="143"/>
        <v/>
      </c>
      <c r="BA37" s="1091"/>
      <c r="BB37" s="1091"/>
      <c r="BC37" s="1091"/>
      <c r="BD37" s="1092"/>
      <c r="BM37" s="8">
        <f>$M37</f>
        <v>3</v>
      </c>
      <c r="BR37" s="8">
        <f>$AB37</f>
        <v>3</v>
      </c>
      <c r="BW37" s="8">
        <f>$AQ37</f>
        <v>2</v>
      </c>
      <c r="BY37" s="8"/>
      <c r="CA37" s="16"/>
      <c r="CB37" s="13">
        <v>2</v>
      </c>
      <c r="CG37" s="13">
        <v>11</v>
      </c>
      <c r="CH37" s="13" t="str">
        <f t="shared" si="117"/>
        <v>Daniel Henderson</v>
      </c>
      <c r="CI37" s="14">
        <f t="shared" si="82"/>
        <v>4</v>
      </c>
      <c r="CU37" s="13">
        <f t="shared" si="118"/>
        <v>10</v>
      </c>
      <c r="CV37" s="13">
        <f t="shared" ref="CV37:DA44" si="157">CV13</f>
        <v>15</v>
      </c>
      <c r="CW37" s="13" t="str">
        <f t="shared" si="157"/>
        <v>Harald Simon</v>
      </c>
      <c r="CX37" s="13">
        <f t="shared" si="157"/>
        <v>1</v>
      </c>
      <c r="CY37" s="13">
        <f t="shared" si="157"/>
        <v>0</v>
      </c>
      <c r="CZ37" s="13">
        <f t="shared" si="157"/>
        <v>2</v>
      </c>
      <c r="DA37" s="13">
        <f t="shared" si="157"/>
        <v>1</v>
      </c>
      <c r="DC37" s="13">
        <f t="shared" si="119"/>
        <v>4</v>
      </c>
      <c r="DD37" s="243">
        <f t="shared" si="84"/>
        <v>0</v>
      </c>
      <c r="DE37" s="236">
        <f t="shared" si="120"/>
        <v>0</v>
      </c>
      <c r="DF37" s="232">
        <f t="shared" si="85"/>
        <v>1</v>
      </c>
      <c r="DG37" s="234">
        <f t="shared" si="121"/>
        <v>1E-3</v>
      </c>
      <c r="DH37" s="232">
        <f t="shared" si="86"/>
        <v>2</v>
      </c>
      <c r="DI37" s="41">
        <f t="shared" si="122"/>
        <v>2.0000000000000001E-4</v>
      </c>
      <c r="DJ37" s="271">
        <f t="shared" si="87"/>
        <v>1</v>
      </c>
      <c r="DK37" s="273">
        <f t="shared" si="88"/>
        <v>1.0000000000000001E-5</v>
      </c>
      <c r="DL37" s="281">
        <f t="shared" si="89"/>
        <v>0</v>
      </c>
      <c r="DM37" s="239">
        <f t="shared" si="90"/>
        <v>4.4999999999999998E-7</v>
      </c>
      <c r="DN37" s="285">
        <f t="shared" si="91"/>
        <v>4.0012100000000004</v>
      </c>
      <c r="DO37" s="285">
        <f t="shared" si="92"/>
        <v>4.0012100000000004</v>
      </c>
      <c r="DP37" s="285">
        <f t="shared" si="93"/>
        <v>4.0012104500000003</v>
      </c>
      <c r="DQ37" s="597"/>
      <c r="DR37" s="205" t="str">
        <f t="shared" si="123"/>
        <v/>
      </c>
      <c r="DS37" s="4" t="str">
        <f t="shared" si="136"/>
        <v/>
      </c>
      <c r="DT37" s="4" t="str">
        <f t="shared" si="138"/>
        <v/>
      </c>
      <c r="DU37" s="4" t="str">
        <f t="shared" si="140"/>
        <v/>
      </c>
      <c r="DV37" s="4" t="str">
        <f t="shared" si="144"/>
        <v/>
      </c>
      <c r="DW37" s="4" t="str">
        <f t="shared" si="147"/>
        <v/>
      </c>
      <c r="DX37" s="4" t="str">
        <f t="shared" si="149"/>
        <v/>
      </c>
      <c r="DY37" s="4" t="str">
        <f t="shared" si="152"/>
        <v/>
      </c>
      <c r="DZ37" s="4" t="str">
        <f t="shared" si="154"/>
        <v/>
      </c>
      <c r="EA37" s="4" t="str">
        <f t="shared" ref="EA37:EA42" si="158">IF($FO37=$FO$36,$CV13,"")</f>
        <v/>
      </c>
      <c r="EB37" s="208"/>
      <c r="EC37" s="4" t="str">
        <f t="shared" si="99"/>
        <v/>
      </c>
      <c r="ED37" s="4" t="str">
        <f t="shared" si="100"/>
        <v/>
      </c>
      <c r="EE37" s="4" t="str">
        <f t="shared" si="101"/>
        <v/>
      </c>
      <c r="EF37" s="4" t="str">
        <f t="shared" si="102"/>
        <v/>
      </c>
      <c r="EG37" s="225" t="str">
        <f t="shared" si="103"/>
        <v/>
      </c>
      <c r="EH37" s="215">
        <f>$AG$4</f>
        <v>15</v>
      </c>
      <c r="EI37" s="205" t="str">
        <f>IF(DR$37="","",FT$13)</f>
        <v/>
      </c>
      <c r="EJ37" s="4" t="str">
        <f t="shared" ref="EJ37:EX37" si="159">IF(DS$37="","",FU$13)</f>
        <v/>
      </c>
      <c r="EK37" s="4" t="str">
        <f t="shared" si="159"/>
        <v/>
      </c>
      <c r="EL37" s="4" t="str">
        <f t="shared" si="159"/>
        <v/>
      </c>
      <c r="EM37" s="4" t="str">
        <f t="shared" si="159"/>
        <v/>
      </c>
      <c r="EN37" s="4" t="str">
        <f t="shared" si="159"/>
        <v/>
      </c>
      <c r="EO37" s="4" t="str">
        <f t="shared" si="159"/>
        <v/>
      </c>
      <c r="EP37" s="4" t="str">
        <f t="shared" si="159"/>
        <v/>
      </c>
      <c r="EQ37" s="4" t="str">
        <f t="shared" si="159"/>
        <v/>
      </c>
      <c r="ER37" s="4" t="str">
        <f t="shared" si="159"/>
        <v/>
      </c>
      <c r="ES37" s="208"/>
      <c r="ET37" s="4" t="str">
        <f t="shared" si="159"/>
        <v/>
      </c>
      <c r="EU37" s="4" t="str">
        <f t="shared" si="159"/>
        <v/>
      </c>
      <c r="EV37" s="4" t="str">
        <f t="shared" si="159"/>
        <v/>
      </c>
      <c r="EW37" s="4" t="str">
        <f t="shared" si="159"/>
        <v/>
      </c>
      <c r="EX37" s="225" t="str">
        <f t="shared" si="159"/>
        <v/>
      </c>
      <c r="EY37" s="230">
        <f t="shared" si="125"/>
        <v>0</v>
      </c>
      <c r="EZ37" s="13">
        <f t="shared" si="105"/>
        <v>13</v>
      </c>
      <c r="FA37" s="657">
        <f t="shared" si="106"/>
        <v>15</v>
      </c>
      <c r="FB37" s="654" t="str">
        <f t="shared" si="107"/>
        <v>Harald Simon</v>
      </c>
      <c r="FC37" s="655">
        <f t="shared" si="126"/>
        <v>4</v>
      </c>
      <c r="FD37" s="655">
        <f t="shared" si="127"/>
        <v>0</v>
      </c>
      <c r="FE37" s="655">
        <f t="shared" si="108"/>
        <v>0</v>
      </c>
      <c r="FF37" s="655">
        <f t="shared" si="128"/>
        <v>0</v>
      </c>
      <c r="FG37" s="658">
        <f t="shared" si="109"/>
        <v>0</v>
      </c>
      <c r="FH37" s="656">
        <f t="shared" si="129"/>
        <v>4</v>
      </c>
      <c r="FI37" s="661">
        <f t="shared" si="130"/>
        <v>4.0012200000000009</v>
      </c>
      <c r="FJ37" s="663">
        <f t="shared" si="131"/>
        <v>1.220000000000887E-3</v>
      </c>
      <c r="FK37" s="726">
        <f t="shared" si="132"/>
        <v>0</v>
      </c>
      <c r="FL37" s="726">
        <f t="shared" si="133"/>
        <v>0</v>
      </c>
      <c r="FM37" s="726">
        <f t="shared" si="110"/>
        <v>0</v>
      </c>
      <c r="FN37" s="665">
        <f t="shared" si="134"/>
        <v>0</v>
      </c>
      <c r="FO37" s="665">
        <f t="shared" si="151"/>
        <v>4.0012200000000009</v>
      </c>
      <c r="FP37" s="726">
        <f t="shared" si="112"/>
        <v>0</v>
      </c>
      <c r="FQ37" s="316">
        <f t="shared" si="113"/>
        <v>0</v>
      </c>
      <c r="FR37" s="13">
        <f t="shared" si="114"/>
        <v>1</v>
      </c>
      <c r="FS37" s="290">
        <f t="shared" si="135"/>
        <v>0</v>
      </c>
      <c r="FT37" s="1192">
        <f t="shared" si="156"/>
        <v>4.0012200000000009</v>
      </c>
      <c r="FU37" s="1192"/>
      <c r="FV37" s="1192"/>
      <c r="FW37" s="1192"/>
      <c r="FX37" s="737">
        <f t="shared" si="116"/>
        <v>4.4999999999999998E-7</v>
      </c>
      <c r="FY37" s="1114">
        <f t="shared" si="146"/>
        <v>4.0012204500000008</v>
      </c>
      <c r="FZ37" s="1114"/>
      <c r="GA37" s="1114"/>
      <c r="GB37" s="1114"/>
      <c r="GC37" s="1114"/>
      <c r="GD37"/>
      <c r="GE37"/>
      <c r="GF37"/>
      <c r="GG37"/>
      <c r="GH37" s="290"/>
      <c r="GJ37" s="290"/>
      <c r="GW37" s="1144"/>
      <c r="GX37" s="230" t="str">
        <f>IF($N$36="","",IF($IW$37=$GX$3,$IX$37,IF(AND($H$37=$GX$3,$L$37&lt;&gt;""),$L$37,IF(AND($H$37=$GX$3,$L$37=""),$M$37,""))))</f>
        <v/>
      </c>
      <c r="GY37" s="301">
        <v>55</v>
      </c>
      <c r="GZ37" s="5" t="str">
        <f t="shared" si="77"/>
        <v/>
      </c>
      <c r="HA37" s="95" t="str">
        <f t="shared" si="68"/>
        <v/>
      </c>
      <c r="HB37" s="5"/>
      <c r="HC37" s="95" t="str">
        <f t="shared" si="78"/>
        <v/>
      </c>
      <c r="HG37" s="1144"/>
      <c r="HH37" s="230" t="str">
        <f>IF($N$36="","",IF($IW$37=$HH$3,$IX$37,IF(AND($H$37=$HH$3,$L$37&lt;&gt;""),$L$37,IF(AND($H$37=$HH$3,$L$37=""),$M$37,""))))</f>
        <v/>
      </c>
      <c r="HI37" s="301">
        <v>55</v>
      </c>
      <c r="HJ37" s="5" t="str">
        <f t="shared" si="79"/>
        <v/>
      </c>
      <c r="HK37" s="95" t="str">
        <f t="shared" si="69"/>
        <v/>
      </c>
      <c r="HL37" s="5"/>
      <c r="HM37" s="95" t="str">
        <f t="shared" si="70"/>
        <v/>
      </c>
      <c r="HN37" s="1148">
        <v>6</v>
      </c>
      <c r="HO37" s="346" t="str">
        <f>IF($H32="",$D32,$H32)</f>
        <v>Stefan Pletschacher</v>
      </c>
      <c r="HP37" s="335"/>
      <c r="HQ37" s="335" t="str">
        <f>IF($L32="","",$L32)</f>
        <v/>
      </c>
      <c r="HR37" s="335">
        <v>0.04</v>
      </c>
      <c r="HS37" s="456">
        <f>IF($M32="","",SUM(HR37+$M32))</f>
        <v>1.04</v>
      </c>
      <c r="HT37" s="457">
        <f>RANK(HS37,HS37:HS40)</f>
        <v>3</v>
      </c>
      <c r="HU37" s="335" t="str">
        <f>IF(HQ37="",HO37,HO37&amp;" ("&amp;HQ37&amp;")")</f>
        <v>Stefan Pletschacher</v>
      </c>
      <c r="HV37" s="347">
        <v>1</v>
      </c>
      <c r="HW37" s="336" t="str">
        <f>IF(N32="","",VLOOKUP(HV37,HT37:HU40,2,FALSE))</f>
        <v>Dimitry Khomitsevich</v>
      </c>
      <c r="HX37" s="1148">
        <v>14</v>
      </c>
      <c r="HY37" s="346" t="str">
        <f>IF($W32="",$S32,$W32)</f>
        <v>Dimitry Khomitsevich</v>
      </c>
      <c r="HZ37" s="335"/>
      <c r="IA37" s="335" t="str">
        <f>IF($AA32="","",$AA32)</f>
        <v/>
      </c>
      <c r="IB37" s="335">
        <v>0.04</v>
      </c>
      <c r="IC37" s="456">
        <f>IF($AB32="","",SUM(IB37+$AB32))</f>
        <v>3.04</v>
      </c>
      <c r="ID37" s="457">
        <f>RANK(IC37,IC37:IC40)</f>
        <v>1</v>
      </c>
      <c r="IE37" s="335" t="str">
        <f>IF(IA37="",HY37,HY37&amp;" ("&amp;IA37&amp;")")</f>
        <v>Dimitry Khomitsevich</v>
      </c>
      <c r="IF37" s="350">
        <v>1</v>
      </c>
      <c r="IG37" s="336" t="str">
        <f>IF(AC32="","",VLOOKUP(IF37,ID37:IE40,2,FALSE))</f>
        <v>Dimitry Khomitsevich</v>
      </c>
      <c r="IH37" s="1146" t="s">
        <v>92</v>
      </c>
      <c r="II37" s="360" t="str">
        <f>IF($AL32="",$AH32,$AL32)</f>
        <v>Dimitry Koltakov</v>
      </c>
      <c r="IJ37" s="335"/>
      <c r="IK37" s="335" t="str">
        <f>IF($AP32="","",IF($AL32&lt;&gt;"","",$AP32))</f>
        <v/>
      </c>
      <c r="IL37" s="335">
        <v>0.04</v>
      </c>
      <c r="IM37" s="335">
        <f>IF($AQ32="","",SUM(IL37+$AQ32))</f>
        <v>3.04</v>
      </c>
      <c r="IN37" s="457">
        <f>RANK(IM37,IM37:IM40)</f>
        <v>1</v>
      </c>
      <c r="IO37" s="335" t="str">
        <f>IF(IK37="",II37,II37&amp;" ("&amp;IK37&amp;")")</f>
        <v>Dimitry Koltakov</v>
      </c>
      <c r="IP37" s="350">
        <v>1</v>
      </c>
      <c r="IQ37" s="336" t="str">
        <f>IF($AQ$35="","",VLOOKUP($IP37,$IN$37:$IO$40,2,FALSE))</f>
        <v>Dimitry Koltakov</v>
      </c>
      <c r="IU37" s="1112"/>
      <c r="IV37" s="698"/>
      <c r="IW37" s="699" t="str">
        <f t="shared" si="71"/>
        <v/>
      </c>
      <c r="IX37" s="700"/>
      <c r="IZ37" s="1112"/>
      <c r="JA37" s="698"/>
      <c r="JB37" s="699" t="str">
        <f t="shared" si="72"/>
        <v/>
      </c>
      <c r="JC37" s="700"/>
      <c r="JE37" s="705"/>
      <c r="JF37" s="705"/>
      <c r="JG37" s="705"/>
      <c r="JH37" s="705"/>
    </row>
    <row r="38" spans="1:268" ht="12.75" customHeight="1">
      <c r="A38" s="1212"/>
      <c r="B38" s="39">
        <v>7</v>
      </c>
      <c r="C38" s="102">
        <f>R$8</f>
        <v>4</v>
      </c>
      <c r="D38" s="517" t="str">
        <f>S$8</f>
        <v>Igor Kononov</v>
      </c>
      <c r="E38" s="1011"/>
      <c r="F38" s="525" t="str">
        <f t="shared" si="52"/>
        <v/>
      </c>
      <c r="G38" s="1020"/>
      <c r="H38" s="1198" t="str">
        <f t="shared" si="53"/>
        <v/>
      </c>
      <c r="I38" s="1198"/>
      <c r="J38" s="1198"/>
      <c r="K38" s="1198"/>
      <c r="L38" s="508"/>
      <c r="M38" s="146">
        <f>IF(N36="","",IF(N36="w",3,IF(N37="w",2,IF(N38="w",1,IF(N39="w",0,0)))))</f>
        <v>2</v>
      </c>
      <c r="N38" s="707" t="s">
        <v>222</v>
      </c>
      <c r="O38" s="268"/>
      <c r="P38" s="1212"/>
      <c r="Q38" s="39">
        <v>10</v>
      </c>
      <c r="R38" s="102">
        <f>AG$3</f>
        <v>12</v>
      </c>
      <c r="S38" s="517" t="str">
        <f>AH$3</f>
        <v>Hans Weber</v>
      </c>
      <c r="T38" s="1011"/>
      <c r="U38" s="525" t="str">
        <f t="shared" si="80"/>
        <v/>
      </c>
      <c r="V38" s="1020"/>
      <c r="W38" s="1198" t="str">
        <f t="shared" si="54"/>
        <v/>
      </c>
      <c r="X38" s="1198"/>
      <c r="Y38" s="1198"/>
      <c r="Z38" s="1198"/>
      <c r="AA38" s="508"/>
      <c r="AB38" s="146">
        <f>IF(AC36="","",IF(AC36="w",3,IF(AC37="w",2,IF(AC38="w",1,IF(AC39="w",0,0)))))</f>
        <v>1</v>
      </c>
      <c r="AC38" s="724" t="s">
        <v>221</v>
      </c>
      <c r="AD38" s="269"/>
      <c r="AE38" s="1217"/>
      <c r="AF38" s="102"/>
      <c r="AG38" s="102">
        <f t="shared" si="142"/>
        <v>11</v>
      </c>
      <c r="AH38" s="517" t="str">
        <f>IF(AW36="W",AV36,IF(AW37="W",AV37,IF(AW38="W",AV38,IF(AW39="W",AV39,""))))</f>
        <v>Vitaly Khomitsevich</v>
      </c>
      <c r="AI38" s="522"/>
      <c r="AJ38" s="522"/>
      <c r="AK38" s="531"/>
      <c r="AL38" s="1215"/>
      <c r="AM38" s="1215"/>
      <c r="AN38" s="1215"/>
      <c r="AO38" s="1215"/>
      <c r="AP38" s="508"/>
      <c r="AQ38" s="146">
        <f>IF(AR36="","",IF(AR36="w",3,IF(AR37="w",2,IF(AR38="w",1,IF(AR39="w",0,0)))))</f>
        <v>1</v>
      </c>
      <c r="AR38" s="724" t="s">
        <v>221</v>
      </c>
      <c r="AS38" s="269"/>
      <c r="AT38" s="290"/>
      <c r="AU38" s="290"/>
      <c r="AV38" s="454" t="str">
        <f>IF(AQ$27="","",IF(AY38&lt;&gt;"",AZ38,AV16))</f>
        <v>Vitaly Khomitsevich</v>
      </c>
      <c r="AW38" s="724" t="s">
        <v>221</v>
      </c>
      <c r="AX38" s="268"/>
      <c r="AY38" s="929"/>
      <c r="AZ38" s="1090" t="str">
        <f t="shared" si="143"/>
        <v/>
      </c>
      <c r="BA38" s="1091"/>
      <c r="BB38" s="1091"/>
      <c r="BC38" s="1091"/>
      <c r="BD38" s="1092"/>
      <c r="BN38" s="8">
        <f>$M38</f>
        <v>2</v>
      </c>
      <c r="BS38" s="8">
        <f>$AB38</f>
        <v>1</v>
      </c>
      <c r="BX38" s="8">
        <f>$AQ38</f>
        <v>1</v>
      </c>
      <c r="BY38" s="8"/>
      <c r="CA38" s="16"/>
      <c r="CB38" s="13">
        <v>3</v>
      </c>
      <c r="CG38" s="13">
        <v>12</v>
      </c>
      <c r="CH38" s="13" t="str">
        <f t="shared" si="117"/>
        <v>Jan Klatovsky</v>
      </c>
      <c r="CI38" s="14">
        <f t="shared" si="82"/>
        <v>2</v>
      </c>
      <c r="CU38" s="13">
        <f t="shared" si="118"/>
        <v>7</v>
      </c>
      <c r="CV38" s="13">
        <f t="shared" si="157"/>
        <v>11</v>
      </c>
      <c r="CW38" s="13" t="str">
        <f t="shared" si="157"/>
        <v>Vitaly Khomitsevich</v>
      </c>
      <c r="CX38" s="13">
        <f t="shared" si="157"/>
        <v>2</v>
      </c>
      <c r="CY38" s="13">
        <f t="shared" si="157"/>
        <v>3</v>
      </c>
      <c r="CZ38" s="13">
        <f t="shared" si="157"/>
        <v>1</v>
      </c>
      <c r="DA38" s="13">
        <f t="shared" si="157"/>
        <v>2</v>
      </c>
      <c r="DC38" s="13">
        <f t="shared" si="119"/>
        <v>8</v>
      </c>
      <c r="DD38" s="243">
        <f t="shared" si="84"/>
        <v>1</v>
      </c>
      <c r="DE38" s="236">
        <f t="shared" si="120"/>
        <v>0.01</v>
      </c>
      <c r="DF38" s="232">
        <f t="shared" si="85"/>
        <v>2</v>
      </c>
      <c r="DG38" s="234">
        <f t="shared" si="121"/>
        <v>2E-3</v>
      </c>
      <c r="DH38" s="232">
        <f t="shared" si="86"/>
        <v>1</v>
      </c>
      <c r="DI38" s="41">
        <f t="shared" si="122"/>
        <v>1E-4</v>
      </c>
      <c r="DJ38" s="271">
        <f t="shared" si="87"/>
        <v>0</v>
      </c>
      <c r="DK38" s="273">
        <f t="shared" si="88"/>
        <v>0</v>
      </c>
      <c r="DL38" s="281">
        <f t="shared" si="89"/>
        <v>0</v>
      </c>
      <c r="DM38" s="238">
        <f t="shared" si="90"/>
        <v>4.8999999999999997E-7</v>
      </c>
      <c r="DN38" s="284">
        <f t="shared" si="91"/>
        <v>8.0121000000000002</v>
      </c>
      <c r="DO38" s="284">
        <f t="shared" si="92"/>
        <v>8.0121000000000002</v>
      </c>
      <c r="DP38" s="284">
        <f t="shared" si="93"/>
        <v>8.0121004899999999</v>
      </c>
      <c r="DQ38" s="597"/>
      <c r="DR38" s="205" t="str">
        <f t="shared" si="123"/>
        <v/>
      </c>
      <c r="DS38" s="4" t="str">
        <f t="shared" si="136"/>
        <v/>
      </c>
      <c r="DT38" s="4" t="str">
        <f t="shared" si="138"/>
        <v/>
      </c>
      <c r="DU38" s="4" t="str">
        <f t="shared" si="140"/>
        <v/>
      </c>
      <c r="DV38" s="4" t="str">
        <f t="shared" si="144"/>
        <v/>
      </c>
      <c r="DW38" s="4" t="str">
        <f t="shared" si="147"/>
        <v/>
      </c>
      <c r="DX38" s="4" t="str">
        <f t="shared" si="149"/>
        <v/>
      </c>
      <c r="DY38" s="4" t="str">
        <f t="shared" si="152"/>
        <v/>
      </c>
      <c r="DZ38" s="4" t="str">
        <f t="shared" si="154"/>
        <v/>
      </c>
      <c r="EA38" s="4" t="str">
        <f t="shared" si="158"/>
        <v/>
      </c>
      <c r="EB38" s="4" t="str">
        <f>IF($FO38=$FO$37,$CV14,"")</f>
        <v/>
      </c>
      <c r="EC38" s="208"/>
      <c r="ED38" s="4" t="str">
        <f t="shared" si="100"/>
        <v/>
      </c>
      <c r="EE38" s="4" t="str">
        <f t="shared" si="101"/>
        <v/>
      </c>
      <c r="EF38" s="4" t="str">
        <f t="shared" si="102"/>
        <v/>
      </c>
      <c r="EG38" s="225" t="str">
        <f t="shared" si="103"/>
        <v/>
      </c>
      <c r="EH38" s="215">
        <f>$AG$5</f>
        <v>11</v>
      </c>
      <c r="EI38" s="205" t="str">
        <f>IF(DR$38="","",FT$14)</f>
        <v/>
      </c>
      <c r="EJ38" s="4" t="str">
        <f t="shared" ref="EJ38:EX38" si="160">IF(DS$38="","",FU$14)</f>
        <v/>
      </c>
      <c r="EK38" s="4" t="str">
        <f t="shared" si="160"/>
        <v/>
      </c>
      <c r="EL38" s="4" t="str">
        <f t="shared" si="160"/>
        <v/>
      </c>
      <c r="EM38" s="4" t="str">
        <f t="shared" si="160"/>
        <v/>
      </c>
      <c r="EN38" s="4" t="str">
        <f t="shared" si="160"/>
        <v/>
      </c>
      <c r="EO38" s="4" t="str">
        <f t="shared" si="160"/>
        <v/>
      </c>
      <c r="EP38" s="4" t="str">
        <f t="shared" si="160"/>
        <v/>
      </c>
      <c r="EQ38" s="4" t="str">
        <f t="shared" si="160"/>
        <v/>
      </c>
      <c r="ER38" s="4" t="str">
        <f t="shared" si="160"/>
        <v/>
      </c>
      <c r="ES38" s="4" t="str">
        <f t="shared" si="160"/>
        <v/>
      </c>
      <c r="ET38" s="208"/>
      <c r="EU38" s="4" t="str">
        <f t="shared" si="160"/>
        <v/>
      </c>
      <c r="EV38" s="4" t="str">
        <f t="shared" si="160"/>
        <v/>
      </c>
      <c r="EW38" s="4" t="str">
        <f t="shared" si="160"/>
        <v/>
      </c>
      <c r="EX38" s="225" t="str">
        <f t="shared" si="160"/>
        <v/>
      </c>
      <c r="EY38" s="230">
        <f t="shared" si="125"/>
        <v>0</v>
      </c>
      <c r="EZ38" s="13">
        <f t="shared" si="105"/>
        <v>5</v>
      </c>
      <c r="FA38" s="657">
        <f t="shared" si="106"/>
        <v>11</v>
      </c>
      <c r="FB38" s="654" t="str">
        <f t="shared" si="107"/>
        <v>Vitaly Khomitsevich</v>
      </c>
      <c r="FC38" s="655">
        <f t="shared" si="126"/>
        <v>11</v>
      </c>
      <c r="FD38" s="655">
        <f t="shared" si="127"/>
        <v>1</v>
      </c>
      <c r="FE38" s="655">
        <f t="shared" si="108"/>
        <v>1</v>
      </c>
      <c r="FF38" s="655">
        <f t="shared" si="128"/>
        <v>1</v>
      </c>
      <c r="FG38" s="658">
        <f t="shared" si="109"/>
        <v>0</v>
      </c>
      <c r="FH38" s="656">
        <f t="shared" si="129"/>
        <v>12</v>
      </c>
      <c r="FI38" s="661">
        <f t="shared" si="130"/>
        <v>11.0221</v>
      </c>
      <c r="FJ38" s="663">
        <f t="shared" si="131"/>
        <v>2.2100000000000009E-2</v>
      </c>
      <c r="FK38" s="726">
        <f t="shared" si="132"/>
        <v>0</v>
      </c>
      <c r="FL38" s="726">
        <f t="shared" si="133"/>
        <v>0</v>
      </c>
      <c r="FM38" s="726">
        <f t="shared" si="110"/>
        <v>1E-4</v>
      </c>
      <c r="FN38" s="665">
        <f t="shared" si="134"/>
        <v>0</v>
      </c>
      <c r="FO38" s="665">
        <f t="shared" si="151"/>
        <v>12.0222</v>
      </c>
      <c r="FP38" s="726">
        <f t="shared" si="112"/>
        <v>0</v>
      </c>
      <c r="FQ38" s="316">
        <f t="shared" si="113"/>
        <v>1</v>
      </c>
      <c r="FR38" s="13">
        <f t="shared" si="114"/>
        <v>1</v>
      </c>
      <c r="FS38" s="290">
        <f t="shared" si="135"/>
        <v>1</v>
      </c>
      <c r="FT38" s="1192">
        <f t="shared" si="156"/>
        <v>12.0223</v>
      </c>
      <c r="FU38" s="1192"/>
      <c r="FV38" s="1192"/>
      <c r="FW38" s="1192"/>
      <c r="FX38" s="737">
        <f t="shared" si="116"/>
        <v>4.8999999999999997E-7</v>
      </c>
      <c r="FY38" s="1114">
        <f t="shared" si="146"/>
        <v>12.022300489999999</v>
      </c>
      <c r="FZ38" s="1114"/>
      <c r="GA38" s="1114"/>
      <c r="GB38" s="1114"/>
      <c r="GC38" s="1114"/>
      <c r="GD38"/>
      <c r="GE38"/>
      <c r="GF38"/>
      <c r="GG38"/>
      <c r="GH38" s="290"/>
      <c r="GJ38" s="290"/>
      <c r="GW38" s="1144"/>
      <c r="GX38" s="230" t="str">
        <f>IF($N$36="","",IF($IW$38=$GX$3,$IX$38,IF(AND($H$38=$GX$3,$L$38&lt;&gt;""),$L$38,IF(AND($H$38=$GX$3,$L$38=""),$M$38,""))))</f>
        <v/>
      </c>
      <c r="GY38" s="301">
        <v>54</v>
      </c>
      <c r="GZ38" s="5" t="str">
        <f t="shared" si="77"/>
        <v/>
      </c>
      <c r="HA38" s="95" t="str">
        <f t="shared" si="68"/>
        <v/>
      </c>
      <c r="HB38" s="5"/>
      <c r="HC38" s="95" t="str">
        <f t="shared" si="78"/>
        <v/>
      </c>
      <c r="HG38" s="1144"/>
      <c r="HH38" s="230" t="str">
        <f>IF($N$36="","",IF($IW$38=$HH$3,$IX$38,IF(AND($H$38=$HH$3,$L$38&lt;&gt;""),$L$38,IF(AND($H$38=$HH$3,$L$38=""),$M$38,""))))</f>
        <v/>
      </c>
      <c r="HI38" s="301">
        <v>54</v>
      </c>
      <c r="HJ38" s="5" t="str">
        <f t="shared" si="79"/>
        <v/>
      </c>
      <c r="HK38" s="95" t="str">
        <f t="shared" si="69"/>
        <v/>
      </c>
      <c r="HL38" s="5"/>
      <c r="HM38" s="95" t="str">
        <f t="shared" si="70"/>
        <v/>
      </c>
      <c r="HN38" s="1149"/>
      <c r="HO38" s="131" t="str">
        <f>IF($H33="",$D33,$H33)</f>
        <v>Hans Weber</v>
      </c>
      <c r="HP38" s="327"/>
      <c r="HQ38" s="327" t="str">
        <f>IF($L33="","",$L33)</f>
        <v/>
      </c>
      <c r="HR38" s="327">
        <v>0.03</v>
      </c>
      <c r="HS38" s="458">
        <f>IF($M33="","",SUM(HR38+$M33))</f>
        <v>2.0299999999999998</v>
      </c>
      <c r="HT38" s="327">
        <f>RANK(HS38,HS37:HS40)</f>
        <v>2</v>
      </c>
      <c r="HU38" s="327" t="str">
        <f>IF(HQ38="",HO38,HO38&amp;" ("&amp;HQ38&amp;")")</f>
        <v>Hans Weber</v>
      </c>
      <c r="HV38" s="328">
        <v>2</v>
      </c>
      <c r="HW38" s="337" t="str">
        <f>IF(N32="","",VLOOKUP(HV38,HT37:HU40,2,FALSE))</f>
        <v>Hans Weber</v>
      </c>
      <c r="HX38" s="1149"/>
      <c r="HY38" s="131" t="str">
        <f>IF($W33="",$S33,$W33)</f>
        <v>Daniel Henderson</v>
      </c>
      <c r="HZ38" s="327"/>
      <c r="IA38" s="327" t="str">
        <f>IF($AA33="","",$AA33)</f>
        <v/>
      </c>
      <c r="IB38" s="327">
        <v>0.03</v>
      </c>
      <c r="IC38" s="458">
        <f>IF($AB33="","",SUM(IB38+$AB33))</f>
        <v>0.03</v>
      </c>
      <c r="ID38" s="327">
        <f>RANK(IC38,IC37:IC40)</f>
        <v>4</v>
      </c>
      <c r="IE38" s="327" t="str">
        <f>IF(IA38="",HY38,HY38&amp;" ("&amp;IA38&amp;")")</f>
        <v>Daniel Henderson</v>
      </c>
      <c r="IF38" s="344">
        <v>2</v>
      </c>
      <c r="IG38" s="337" t="str">
        <f>IF(AC32="","",VLOOKUP(IF38,ID37:IE40,2,FALSE))</f>
        <v>Gunter Bauer</v>
      </c>
      <c r="IH38" s="1147"/>
      <c r="II38" s="361" t="str">
        <f>IF($AL33="",$AH33,$AL33)</f>
        <v>Igor Kononov</v>
      </c>
      <c r="IJ38" s="327"/>
      <c r="IK38" s="327" t="str">
        <f>IF($AP33="","",IF($AL33&lt;&gt;"","",$AP33))</f>
        <v/>
      </c>
      <c r="IL38" s="327">
        <v>0.03</v>
      </c>
      <c r="IM38" s="327">
        <f>IF($AQ33="","",SUM(IL38+$AQ33))</f>
        <v>2.0299999999999998</v>
      </c>
      <c r="IN38" s="327">
        <f>RANK(IM38,IM37:IM40)</f>
        <v>2</v>
      </c>
      <c r="IO38" s="327" t="str">
        <f>IF(IK38="",II38,II38&amp;" ("&amp;IK38&amp;")")</f>
        <v>Igor Kononov</v>
      </c>
      <c r="IP38" s="344">
        <v>2</v>
      </c>
      <c r="IQ38" s="337" t="str">
        <f>IF($AQ$35="","",VLOOKUP($IP38,$IN$37:$IO$40,2,FALSE))</f>
        <v>Igor Kononov</v>
      </c>
      <c r="IU38" s="1112"/>
      <c r="IV38" s="701"/>
      <c r="IW38" s="699" t="str">
        <f t="shared" si="71"/>
        <v/>
      </c>
      <c r="IX38" s="700"/>
      <c r="IZ38" s="1112"/>
      <c r="JA38" s="701"/>
      <c r="JB38" s="699" t="str">
        <f t="shared" si="72"/>
        <v/>
      </c>
      <c r="JC38" s="700"/>
      <c r="JE38" s="705"/>
      <c r="JF38" s="705"/>
      <c r="JG38" s="705"/>
      <c r="JH38" s="705"/>
    </row>
    <row r="39" spans="1:268" ht="12.75" customHeight="1" thickBot="1">
      <c r="A39" s="918" t="s">
        <v>403</v>
      </c>
      <c r="B39" s="331">
        <v>3</v>
      </c>
      <c r="C39" s="103">
        <f>R$4</f>
        <v>10</v>
      </c>
      <c r="D39" s="519" t="str">
        <f>S$4</f>
        <v>Franz Zorn</v>
      </c>
      <c r="E39" s="1013"/>
      <c r="F39" s="527" t="str">
        <f t="shared" si="52"/>
        <v/>
      </c>
      <c r="G39" s="1021"/>
      <c r="H39" s="1197" t="str">
        <f t="shared" si="53"/>
        <v/>
      </c>
      <c r="I39" s="1197"/>
      <c r="J39" s="1197"/>
      <c r="K39" s="1197"/>
      <c r="L39" s="511"/>
      <c r="M39" s="149">
        <f>IF(N36="","",IF(N36="y",3,IF(N37="y",2,IF(N38="y",1,IF(N39="y",0,0)))))</f>
        <v>1</v>
      </c>
      <c r="N39" s="708" t="s">
        <v>12</v>
      </c>
      <c r="O39" s="268"/>
      <c r="P39" s="918" t="s">
        <v>415</v>
      </c>
      <c r="Q39" s="331">
        <v>5</v>
      </c>
      <c r="R39" s="103">
        <f>R$6</f>
        <v>14</v>
      </c>
      <c r="S39" s="519" t="str">
        <f>S$6</f>
        <v>Antonin Klatovsky</v>
      </c>
      <c r="T39" s="1012"/>
      <c r="U39" s="526" t="str">
        <f t="shared" si="80"/>
        <v/>
      </c>
      <c r="V39" s="1021"/>
      <c r="W39" s="1197" t="str">
        <f t="shared" si="54"/>
        <v/>
      </c>
      <c r="X39" s="1197"/>
      <c r="Y39" s="1197"/>
      <c r="Z39" s="1197"/>
      <c r="AA39" s="511"/>
      <c r="AB39" s="149">
        <f>IF(AC36="","",IF(AC36="y",3,IF(AC37="y",2,IF(AC38="y",1,IF(AC39="y",0,0)))))</f>
        <v>0</v>
      </c>
      <c r="AC39" s="725" t="s">
        <v>222</v>
      </c>
      <c r="AD39" s="269"/>
      <c r="AE39" s="918" t="s">
        <v>417</v>
      </c>
      <c r="AF39" s="103"/>
      <c r="AG39" s="103">
        <f t="shared" si="142"/>
        <v>5</v>
      </c>
      <c r="AH39" s="520" t="str">
        <f>IF(AW36="Y",AV36,IF(AW37="Y",AV37,IF(AW38="Y",AV38,IF(AW39="Y",AV39,""))))</f>
        <v>Stefan Svensson</v>
      </c>
      <c r="AI39" s="523"/>
      <c r="AJ39" s="523"/>
      <c r="AK39" s="532"/>
      <c r="AL39" s="1213"/>
      <c r="AM39" s="1213"/>
      <c r="AN39" s="1213"/>
      <c r="AO39" s="1213"/>
      <c r="AP39" s="509"/>
      <c r="AQ39" s="149">
        <f>IF(AR36="","",IF(AR36="y",3,IF(AR37="y",2,IF(AR38="y",1,IF(AR39="y",0,0)))))</f>
        <v>0</v>
      </c>
      <c r="AR39" s="725" t="s">
        <v>222</v>
      </c>
      <c r="AS39" s="269"/>
      <c r="AT39" s="290"/>
      <c r="AU39" s="290"/>
      <c r="AV39" s="455" t="str">
        <f>IF(AQ$27="","",IF(AY39&lt;&gt;"",AZ39,AV19))</f>
        <v>Stefan Svensson</v>
      </c>
      <c r="AW39" s="725" t="s">
        <v>222</v>
      </c>
      <c r="AX39" s="268"/>
      <c r="AY39" s="930"/>
      <c r="AZ39" s="1093" t="str">
        <f t="shared" si="143"/>
        <v/>
      </c>
      <c r="BA39" s="1094"/>
      <c r="BB39" s="1094"/>
      <c r="BC39" s="1094"/>
      <c r="BD39" s="1095"/>
      <c r="BO39" s="8">
        <f>$M39</f>
        <v>1</v>
      </c>
      <c r="BT39" s="8">
        <f>$AB39</f>
        <v>0</v>
      </c>
      <c r="BY39" s="8">
        <f>$AQ39</f>
        <v>0</v>
      </c>
      <c r="CA39" s="16"/>
      <c r="CB39" s="13">
        <v>4</v>
      </c>
      <c r="CG39" s="13">
        <v>13</v>
      </c>
      <c r="CH39" s="13" t="str">
        <f t="shared" si="117"/>
        <v>Per-Anders Lindstrom</v>
      </c>
      <c r="CI39" s="14">
        <f t="shared" si="82"/>
        <v>2</v>
      </c>
      <c r="CU39" s="13">
        <f t="shared" si="118"/>
        <v>11</v>
      </c>
      <c r="CV39" s="13">
        <f t="shared" si="157"/>
        <v>19</v>
      </c>
      <c r="CW39" s="13" t="str">
        <f t="shared" si="157"/>
        <v>Daniel Henderson</v>
      </c>
      <c r="CX39" s="13">
        <f t="shared" si="157"/>
        <v>1</v>
      </c>
      <c r="CY39" s="13">
        <f t="shared" si="157"/>
        <v>2</v>
      </c>
      <c r="CZ39" s="13">
        <f t="shared" si="157"/>
        <v>1</v>
      </c>
      <c r="DA39" s="13">
        <f t="shared" si="157"/>
        <v>0</v>
      </c>
      <c r="DC39" s="13">
        <f t="shared" si="119"/>
        <v>4</v>
      </c>
      <c r="DD39" s="243">
        <f t="shared" si="84"/>
        <v>0</v>
      </c>
      <c r="DE39" s="236">
        <f t="shared" si="120"/>
        <v>0</v>
      </c>
      <c r="DF39" s="232">
        <f t="shared" si="85"/>
        <v>1</v>
      </c>
      <c r="DG39" s="234">
        <f t="shared" si="121"/>
        <v>1E-3</v>
      </c>
      <c r="DH39" s="232">
        <f t="shared" si="86"/>
        <v>2</v>
      </c>
      <c r="DI39" s="41">
        <f t="shared" si="122"/>
        <v>2.0000000000000001E-4</v>
      </c>
      <c r="DJ39" s="271">
        <f t="shared" si="87"/>
        <v>1</v>
      </c>
      <c r="DK39" s="273">
        <f t="shared" si="88"/>
        <v>1.0000000000000001E-5</v>
      </c>
      <c r="DL39" s="281">
        <f t="shared" si="89"/>
        <v>0</v>
      </c>
      <c r="DM39" s="239">
        <f t="shared" si="90"/>
        <v>4.0999999999999999E-7</v>
      </c>
      <c r="DN39" s="285">
        <f t="shared" si="91"/>
        <v>4.0012100000000004</v>
      </c>
      <c r="DO39" s="285">
        <f t="shared" si="92"/>
        <v>4.0012100000000004</v>
      </c>
      <c r="DP39" s="285">
        <f t="shared" si="93"/>
        <v>4.0012104100000006</v>
      </c>
      <c r="DQ39" s="597"/>
      <c r="DR39" s="205" t="str">
        <f t="shared" si="123"/>
        <v/>
      </c>
      <c r="DS39" s="4" t="str">
        <f t="shared" si="136"/>
        <v/>
      </c>
      <c r="DT39" s="4" t="str">
        <f t="shared" si="138"/>
        <v/>
      </c>
      <c r="DU39" s="4" t="str">
        <f t="shared" si="140"/>
        <v/>
      </c>
      <c r="DV39" s="4" t="str">
        <f t="shared" si="144"/>
        <v/>
      </c>
      <c r="DW39" s="4" t="str">
        <f t="shared" si="147"/>
        <v/>
      </c>
      <c r="DX39" s="4" t="str">
        <f t="shared" si="149"/>
        <v/>
      </c>
      <c r="DY39" s="4" t="str">
        <f t="shared" si="152"/>
        <v/>
      </c>
      <c r="DZ39" s="4" t="str">
        <f t="shared" si="154"/>
        <v/>
      </c>
      <c r="EA39" s="4" t="str">
        <f t="shared" si="158"/>
        <v/>
      </c>
      <c r="EB39" s="4" t="str">
        <f>IF($FO39=$FO$37,$CV15,"")</f>
        <v/>
      </c>
      <c r="EC39" s="4" t="str">
        <f>IF($FO39=$FO$38,$CV15,"")</f>
        <v/>
      </c>
      <c r="ED39" s="208"/>
      <c r="EE39" s="4" t="str">
        <f t="shared" si="101"/>
        <v/>
      </c>
      <c r="EF39" s="4" t="str">
        <f t="shared" si="102"/>
        <v/>
      </c>
      <c r="EG39" s="225" t="str">
        <f t="shared" si="103"/>
        <v/>
      </c>
      <c r="EH39" s="215">
        <f>$AG$6</f>
        <v>19</v>
      </c>
      <c r="EI39" s="205" t="str">
        <f>IF(DR$39="","",FT$15)</f>
        <v/>
      </c>
      <c r="EJ39" s="4" t="str">
        <f t="shared" ref="EJ39:EX39" si="161">IF(DS$39="","",FU$15)</f>
        <v/>
      </c>
      <c r="EK39" s="4" t="str">
        <f t="shared" si="161"/>
        <v/>
      </c>
      <c r="EL39" s="4" t="str">
        <f t="shared" si="161"/>
        <v/>
      </c>
      <c r="EM39" s="4" t="str">
        <f t="shared" si="161"/>
        <v/>
      </c>
      <c r="EN39" s="4" t="str">
        <f t="shared" si="161"/>
        <v/>
      </c>
      <c r="EO39" s="4" t="str">
        <f t="shared" si="161"/>
        <v/>
      </c>
      <c r="EP39" s="4" t="str">
        <f t="shared" si="161"/>
        <v/>
      </c>
      <c r="EQ39" s="4" t="str">
        <f t="shared" si="161"/>
        <v/>
      </c>
      <c r="ER39" s="4" t="str">
        <f t="shared" si="161"/>
        <v/>
      </c>
      <c r="ES39" s="4" t="str">
        <f t="shared" si="161"/>
        <v/>
      </c>
      <c r="ET39" s="4" t="str">
        <f t="shared" si="161"/>
        <v/>
      </c>
      <c r="EU39" s="208"/>
      <c r="EV39" s="4" t="str">
        <f t="shared" si="161"/>
        <v/>
      </c>
      <c r="EW39" s="4" t="str">
        <f t="shared" si="161"/>
        <v/>
      </c>
      <c r="EX39" s="225" t="str">
        <f t="shared" si="161"/>
        <v/>
      </c>
      <c r="EY39" s="230">
        <f t="shared" si="125"/>
        <v>0</v>
      </c>
      <c r="EZ39" s="13">
        <f t="shared" si="105"/>
        <v>11</v>
      </c>
      <c r="FA39" s="657">
        <f t="shared" si="106"/>
        <v>19</v>
      </c>
      <c r="FB39" s="654" t="str">
        <f t="shared" si="107"/>
        <v>Daniel Henderson</v>
      </c>
      <c r="FC39" s="655">
        <f t="shared" si="126"/>
        <v>5</v>
      </c>
      <c r="FD39" s="655">
        <f t="shared" si="127"/>
        <v>0</v>
      </c>
      <c r="FE39" s="655">
        <f t="shared" si="108"/>
        <v>0</v>
      </c>
      <c r="FF39" s="655">
        <f t="shared" si="128"/>
        <v>0</v>
      </c>
      <c r="FG39" s="658">
        <f t="shared" si="109"/>
        <v>0</v>
      </c>
      <c r="FH39" s="734">
        <f t="shared" si="129"/>
        <v>5</v>
      </c>
      <c r="FI39" s="738">
        <f t="shared" si="130"/>
        <v>5.0013100000000001</v>
      </c>
      <c r="FJ39" s="735">
        <f t="shared" si="131"/>
        <v>1.3100000000001444E-3</v>
      </c>
      <c r="FK39" s="176">
        <f t="shared" si="132"/>
        <v>0</v>
      </c>
      <c r="FL39" s="176">
        <f t="shared" si="133"/>
        <v>0</v>
      </c>
      <c r="FM39" s="176">
        <f t="shared" si="110"/>
        <v>0</v>
      </c>
      <c r="FN39" s="736">
        <f t="shared" si="134"/>
        <v>0</v>
      </c>
      <c r="FO39" s="736">
        <f t="shared" si="151"/>
        <v>5.0013100000000001</v>
      </c>
      <c r="FP39" s="726">
        <f t="shared" si="112"/>
        <v>0</v>
      </c>
      <c r="FQ39" s="316">
        <f t="shared" si="113"/>
        <v>0</v>
      </c>
      <c r="FR39" s="13">
        <f t="shared" si="114"/>
        <v>1</v>
      </c>
      <c r="FS39" s="290">
        <f t="shared" si="135"/>
        <v>0</v>
      </c>
      <c r="FT39" s="1192">
        <f t="shared" si="156"/>
        <v>5.0013100000000001</v>
      </c>
      <c r="FU39" s="1192"/>
      <c r="FV39" s="1192"/>
      <c r="FW39" s="1192"/>
      <c r="FX39" s="737">
        <f t="shared" si="116"/>
        <v>4.0999999999999999E-7</v>
      </c>
      <c r="FY39" s="1114">
        <f t="shared" si="146"/>
        <v>5.0013104100000003</v>
      </c>
      <c r="FZ39" s="1114"/>
      <c r="GA39" s="1114"/>
      <c r="GB39" s="1114"/>
      <c r="GC39" s="1114"/>
      <c r="GD39"/>
      <c r="GE39"/>
      <c r="GF39"/>
      <c r="GG39"/>
      <c r="GH39" s="290"/>
      <c r="GJ39" s="290"/>
      <c r="GW39" s="1145"/>
      <c r="GX39" s="231" t="str">
        <f>IF($N$36="","",IF($IW$39=$GX$3,$IX$39,IF(AND($H$39=$GX$3,$L$39&lt;&gt;""),$L$39,IF(AND($H$39=$GX$3,$L$39=""),$M$39,""))))</f>
        <v/>
      </c>
      <c r="GY39" s="302">
        <v>53</v>
      </c>
      <c r="GZ39" s="303" t="str">
        <f t="shared" si="77"/>
        <v/>
      </c>
      <c r="HA39" s="98" t="str">
        <f t="shared" si="68"/>
        <v/>
      </c>
      <c r="HB39" s="303"/>
      <c r="HC39" s="98" t="str">
        <f t="shared" si="78"/>
        <v/>
      </c>
      <c r="HG39" s="1145"/>
      <c r="HH39" s="231" t="str">
        <f>IF($N$36="","",IF($IW$39=$HH$3,$IX$39,IF(AND($H$39=$HH$3,$L$39&lt;&gt;""),$L$39,IF(AND($H$39=$HH$3,$L$39=""),$M$39,""))))</f>
        <v/>
      </c>
      <c r="HI39" s="302">
        <v>53</v>
      </c>
      <c r="HJ39" s="303" t="str">
        <f t="shared" si="79"/>
        <v/>
      </c>
      <c r="HK39" s="98" t="str">
        <f t="shared" si="69"/>
        <v/>
      </c>
      <c r="HL39" s="303"/>
      <c r="HM39" s="98" t="str">
        <f t="shared" si="70"/>
        <v/>
      </c>
      <c r="HN39" s="1149"/>
      <c r="HO39" s="131" t="str">
        <f>IF($H34="",$D34,$H34)</f>
        <v>Dimitry Khomitsevich</v>
      </c>
      <c r="HP39" s="327"/>
      <c r="HQ39" s="327" t="str">
        <f>IF($L34="","",$L34)</f>
        <v/>
      </c>
      <c r="HR39" s="327">
        <v>0.02</v>
      </c>
      <c r="HS39" s="458">
        <f>IF($M34="","",SUM(HR39+$M34))</f>
        <v>3.02</v>
      </c>
      <c r="HT39" s="327">
        <f>RANK(HS39,HS37:HS40)</f>
        <v>1</v>
      </c>
      <c r="HU39" s="327" t="str">
        <f>IF(HQ39="",HO39,HO39&amp;" ("&amp;HQ39&amp;")")</f>
        <v>Dimitry Khomitsevich</v>
      </c>
      <c r="HV39" s="328">
        <v>3</v>
      </c>
      <c r="HW39" s="337" t="str">
        <f>IF(N32="","",VLOOKUP(HV39,HT37:HU40,2,FALSE))</f>
        <v>Stefan Pletschacher</v>
      </c>
      <c r="HX39" s="1149"/>
      <c r="HY39" s="131" t="str">
        <f>IF($W34="",$S34,$W34)</f>
        <v>Gunter Bauer</v>
      </c>
      <c r="HZ39" s="327"/>
      <c r="IA39" s="327" t="str">
        <f>IF($AA34="","",$AA34)</f>
        <v/>
      </c>
      <c r="IB39" s="327">
        <v>0.02</v>
      </c>
      <c r="IC39" s="458">
        <f>IF($AB34="","",SUM(IB39+$AB34))</f>
        <v>2.02</v>
      </c>
      <c r="ID39" s="327">
        <f>RANK(IC39,IC37:IC40)</f>
        <v>2</v>
      </c>
      <c r="IE39" s="327" t="str">
        <f>IF(IA39="",HY39,HY39&amp;" ("&amp;IA39&amp;")")</f>
        <v>Gunter Bauer</v>
      </c>
      <c r="IF39" s="344">
        <v>3</v>
      </c>
      <c r="IG39" s="337" t="str">
        <f>IF(AC32="","",VLOOKUP(IF39,ID37:IE40,2,FALSE))</f>
        <v>Harald Simon</v>
      </c>
      <c r="IH39" s="1147"/>
      <c r="II39" s="361" t="str">
        <f>IF($AL34="",$AH34,$AL34)</f>
        <v>Franz Zorn</v>
      </c>
      <c r="IJ39" s="327"/>
      <c r="IK39" s="327" t="str">
        <f>IF($AP34="","",IF($AL34&lt;&gt;"","",$AP34))</f>
        <v/>
      </c>
      <c r="IL39" s="327">
        <v>0.02</v>
      </c>
      <c r="IM39" s="327">
        <f>IF($AQ34="","",SUM(IL39+$AQ34))</f>
        <v>1.02</v>
      </c>
      <c r="IN39" s="327">
        <f>RANK(IM39,IM37:IM40)</f>
        <v>3</v>
      </c>
      <c r="IO39" s="327" t="str">
        <f>IF(IK39="",II39,II39&amp;" ("&amp;IK39&amp;")")</f>
        <v>Franz Zorn</v>
      </c>
      <c r="IP39" s="344">
        <v>3</v>
      </c>
      <c r="IQ39" s="337" t="str">
        <f>IF($AQ$35="","",VLOOKUP($IP39,$IN$37:$IO$40,2,FALSE))</f>
        <v>Franz Zorn</v>
      </c>
      <c r="IU39" s="1113"/>
      <c r="IV39" s="702"/>
      <c r="IW39" s="703" t="str">
        <f t="shared" si="71"/>
        <v/>
      </c>
      <c r="IX39" s="704"/>
      <c r="IZ39" s="1113"/>
      <c r="JA39" s="702"/>
      <c r="JB39" s="703" t="str">
        <f t="shared" si="72"/>
        <v/>
      </c>
      <c r="JC39" s="704"/>
      <c r="JE39" s="705"/>
      <c r="JF39" s="705"/>
      <c r="JG39" s="705"/>
      <c r="JH39" s="705"/>
    </row>
    <row r="40" spans="1:268" ht="12.75" customHeight="1" thickBot="1">
      <c r="A40" s="1211">
        <v>8</v>
      </c>
      <c r="B40" s="332">
        <v>4</v>
      </c>
      <c r="C40" s="100">
        <f>R$5</f>
        <v>6</v>
      </c>
      <c r="D40" s="517" t="str">
        <f>S$5</f>
        <v>Jan Klatovsky</v>
      </c>
      <c r="E40" s="1011"/>
      <c r="F40" s="525" t="str">
        <f t="shared" si="52"/>
        <v/>
      </c>
      <c r="G40" s="1018"/>
      <c r="H40" s="1210" t="str">
        <f t="shared" si="53"/>
        <v/>
      </c>
      <c r="I40" s="1210"/>
      <c r="J40" s="1210"/>
      <c r="K40" s="1210"/>
      <c r="L40" s="507"/>
      <c r="M40" s="93">
        <f>IF(N40="","",IF(N40="R",3,IF(N41="R",2,IF(N42="R",1,IF(N43="R",0,0)))))</f>
        <v>0</v>
      </c>
      <c r="N40" s="706" t="s">
        <v>221</v>
      </c>
      <c r="O40" s="268"/>
      <c r="P40" s="1211">
        <v>16</v>
      </c>
      <c r="Q40" s="329">
        <v>9</v>
      </c>
      <c r="R40" s="106">
        <f>AG$2</f>
        <v>1</v>
      </c>
      <c r="S40" s="516" t="str">
        <f>AH$2</f>
        <v>Daniil Ivanov</v>
      </c>
      <c r="T40" s="1010"/>
      <c r="U40" s="524" t="str">
        <f t="shared" si="80"/>
        <v/>
      </c>
      <c r="V40" s="1018"/>
      <c r="W40" s="1210" t="str">
        <f t="shared" si="54"/>
        <v/>
      </c>
      <c r="X40" s="1210"/>
      <c r="Y40" s="1210"/>
      <c r="Z40" s="1210"/>
      <c r="AA40" s="510"/>
      <c r="AB40" s="93">
        <f>IF(AC40="","",IF(AC40="R",3,IF(AC41="R",2,IF(AC42="R",1,IF(AC43="R",0,0)))))</f>
        <v>2</v>
      </c>
      <c r="AC40" s="723" t="s">
        <v>222</v>
      </c>
      <c r="AD40" s="269"/>
      <c r="AE40" s="1208" t="s">
        <v>63</v>
      </c>
      <c r="AF40" s="106"/>
      <c r="AG40" s="106">
        <f t="shared" si="142"/>
        <v>2</v>
      </c>
      <c r="AH40" s="516" t="str">
        <f>IF(AW40="R",AV40,IF(AW41="R",AV41,IF(AW42="R",AV42,IF(AW43="R",AV43,""))))</f>
        <v>Dimitry Koltakov</v>
      </c>
      <c r="AI40" s="521"/>
      <c r="AJ40" s="521"/>
      <c r="AK40" s="530"/>
      <c r="AL40" s="1214"/>
      <c r="AM40" s="1214"/>
      <c r="AN40" s="1214"/>
      <c r="AO40" s="1214"/>
      <c r="AP40" s="510"/>
      <c r="AQ40" s="485">
        <f>IF(AR40="","",IF(AP40&lt;&gt;"",0,IF(AR40="R",3,IF(AR41="R",2,IF(AR42="R",1,IF(AR43="R",0,0.000000001))))))</f>
        <v>3</v>
      </c>
      <c r="AR40" s="723" t="s">
        <v>12</v>
      </c>
      <c r="AS40" s="505"/>
      <c r="AT40" s="290"/>
      <c r="AU40" s="290"/>
      <c r="AV40" s="453" t="str">
        <f>IF(AQ$39="","",IF(AY40&lt;&gt;"",AZ40,VLOOKUP(1,BL$48:BN$51,3,FALSE)))</f>
        <v>Dimitry Koltakov</v>
      </c>
      <c r="AW40" s="723" t="s">
        <v>12</v>
      </c>
      <c r="AX40" s="268"/>
      <c r="AY40" s="928"/>
      <c r="AZ40" s="1087" t="str">
        <f t="shared" si="143"/>
        <v/>
      </c>
      <c r="BA40" s="1088"/>
      <c r="BB40" s="1088"/>
      <c r="BC40" s="1088"/>
      <c r="BD40" s="1089"/>
      <c r="BI40" s="264">
        <f>IF(AQ40="","",AQ40+1)</f>
        <v>4</v>
      </c>
      <c r="BJ40" s="16">
        <f>VLOOKUP(AH40,$FB$66:$FC$83,2,FALSE)</f>
        <v>21</v>
      </c>
      <c r="BK40" s="290"/>
      <c r="BL40" s="8">
        <f>$M40</f>
        <v>0</v>
      </c>
      <c r="BQ40" s="8">
        <f>$AB40</f>
        <v>2</v>
      </c>
      <c r="BV40" s="8">
        <f>$AQ40</f>
        <v>3</v>
      </c>
      <c r="BY40" s="8"/>
      <c r="CA40" s="16"/>
      <c r="CB40" s="13">
        <v>1</v>
      </c>
      <c r="CG40" s="13">
        <v>14</v>
      </c>
      <c r="CH40" s="13" t="str">
        <f t="shared" si="117"/>
        <v>Antonin Klatovsky</v>
      </c>
      <c r="CI40" s="14">
        <f t="shared" si="82"/>
        <v>2</v>
      </c>
      <c r="CU40" s="13">
        <f t="shared" si="118"/>
        <v>15</v>
      </c>
      <c r="CV40" s="13">
        <f t="shared" si="157"/>
        <v>8</v>
      </c>
      <c r="CW40" s="13" t="str">
        <f t="shared" si="157"/>
        <v>Stefan Pletschacher</v>
      </c>
      <c r="CX40" s="13">
        <f t="shared" si="157"/>
        <v>0</v>
      </c>
      <c r="CY40" s="13">
        <f t="shared" si="157"/>
        <v>1</v>
      </c>
      <c r="CZ40" s="13">
        <f t="shared" si="157"/>
        <v>0</v>
      </c>
      <c r="DA40" s="13">
        <f t="shared" si="157"/>
        <v>0</v>
      </c>
      <c r="DC40" s="13">
        <f t="shared" si="119"/>
        <v>1</v>
      </c>
      <c r="DD40" s="243">
        <f t="shared" si="84"/>
        <v>0</v>
      </c>
      <c r="DE40" s="236">
        <f t="shared" si="120"/>
        <v>0</v>
      </c>
      <c r="DF40" s="232">
        <f t="shared" si="85"/>
        <v>0</v>
      </c>
      <c r="DG40" s="234">
        <f t="shared" si="121"/>
        <v>0</v>
      </c>
      <c r="DH40" s="232">
        <f t="shared" si="86"/>
        <v>1</v>
      </c>
      <c r="DI40" s="41">
        <f t="shared" si="122"/>
        <v>1E-4</v>
      </c>
      <c r="DJ40" s="271">
        <f t="shared" si="87"/>
        <v>3</v>
      </c>
      <c r="DK40" s="273">
        <f t="shared" si="88"/>
        <v>3.0000000000000001E-5</v>
      </c>
      <c r="DL40" s="281">
        <f t="shared" si="89"/>
        <v>0</v>
      </c>
      <c r="DM40" s="238">
        <f t="shared" si="90"/>
        <v>5.2E-7</v>
      </c>
      <c r="DN40" s="284">
        <f t="shared" si="91"/>
        <v>1.00013</v>
      </c>
      <c r="DO40" s="284">
        <f t="shared" si="92"/>
        <v>1.00013</v>
      </c>
      <c r="DP40" s="284">
        <f t="shared" si="93"/>
        <v>1.0001305199999999</v>
      </c>
      <c r="DQ40" s="597"/>
      <c r="DR40" s="205" t="str">
        <f t="shared" si="123"/>
        <v/>
      </c>
      <c r="DS40" s="4" t="str">
        <f t="shared" si="136"/>
        <v/>
      </c>
      <c r="DT40" s="4" t="str">
        <f t="shared" si="138"/>
        <v/>
      </c>
      <c r="DU40" s="4" t="str">
        <f t="shared" si="140"/>
        <v/>
      </c>
      <c r="DV40" s="4" t="str">
        <f t="shared" si="144"/>
        <v/>
      </c>
      <c r="DW40" s="4" t="str">
        <f t="shared" si="147"/>
        <v/>
      </c>
      <c r="DX40" s="4" t="str">
        <f t="shared" si="149"/>
        <v/>
      </c>
      <c r="DY40" s="4" t="str">
        <f t="shared" si="152"/>
        <v/>
      </c>
      <c r="DZ40" s="4" t="str">
        <f t="shared" si="154"/>
        <v/>
      </c>
      <c r="EA40" s="4" t="str">
        <f t="shared" si="158"/>
        <v/>
      </c>
      <c r="EB40" s="4" t="str">
        <f>IF($FO40=$FO$37,$CV16,"")</f>
        <v/>
      </c>
      <c r="EC40" s="4" t="str">
        <f>IF($FO40=$FO$38,$CV16,"")</f>
        <v/>
      </c>
      <c r="ED40" s="4" t="str">
        <f>IF($FO40=$FO$39,$CV16,"")</f>
        <v/>
      </c>
      <c r="EE40" s="208"/>
      <c r="EF40" s="4" t="str">
        <f t="shared" si="102"/>
        <v/>
      </c>
      <c r="EG40" s="225" t="str">
        <f t="shared" si="103"/>
        <v/>
      </c>
      <c r="EH40" s="215">
        <f>$AG$7</f>
        <v>8</v>
      </c>
      <c r="EI40" s="205" t="str">
        <f>IF(DR$40="","",FT$16)</f>
        <v/>
      </c>
      <c r="EJ40" s="4" t="str">
        <f t="shared" ref="EJ40:EX40" si="162">IF(DS$40="","",FU$16)</f>
        <v/>
      </c>
      <c r="EK40" s="4" t="str">
        <f t="shared" si="162"/>
        <v/>
      </c>
      <c r="EL40" s="4" t="str">
        <f t="shared" si="162"/>
        <v/>
      </c>
      <c r="EM40" s="4" t="str">
        <f t="shared" si="162"/>
        <v/>
      </c>
      <c r="EN40" s="4" t="str">
        <f t="shared" si="162"/>
        <v/>
      </c>
      <c r="EO40" s="4" t="str">
        <f t="shared" si="162"/>
        <v/>
      </c>
      <c r="EP40" s="4" t="str">
        <f t="shared" si="162"/>
        <v/>
      </c>
      <c r="EQ40" s="4" t="str">
        <f t="shared" si="162"/>
        <v/>
      </c>
      <c r="ER40" s="4" t="str">
        <f t="shared" si="162"/>
        <v/>
      </c>
      <c r="ES40" s="4" t="str">
        <f t="shared" si="162"/>
        <v/>
      </c>
      <c r="ET40" s="4" t="str">
        <f t="shared" si="162"/>
        <v/>
      </c>
      <c r="EU40" s="4" t="str">
        <f t="shared" si="162"/>
        <v/>
      </c>
      <c r="EV40" s="208"/>
      <c r="EW40" s="4" t="str">
        <f t="shared" si="162"/>
        <v/>
      </c>
      <c r="EX40" s="225" t="str">
        <f t="shared" si="162"/>
        <v/>
      </c>
      <c r="EY40" s="230">
        <f t="shared" si="125"/>
        <v>0</v>
      </c>
      <c r="EZ40" s="13">
        <f t="shared" si="105"/>
        <v>15</v>
      </c>
      <c r="FA40" s="657">
        <f t="shared" si="106"/>
        <v>8</v>
      </c>
      <c r="FB40" s="654" t="str">
        <f t="shared" si="107"/>
        <v>Stefan Pletschacher</v>
      </c>
      <c r="FC40" s="655">
        <f t="shared" si="126"/>
        <v>2</v>
      </c>
      <c r="FD40" s="655">
        <f t="shared" si="127"/>
        <v>0</v>
      </c>
      <c r="FE40" s="655">
        <f t="shared" si="108"/>
        <v>0</v>
      </c>
      <c r="FF40" s="655">
        <f t="shared" si="128"/>
        <v>0</v>
      </c>
      <c r="FG40" s="658">
        <f t="shared" si="109"/>
        <v>0</v>
      </c>
      <c r="FH40" s="656">
        <f t="shared" si="129"/>
        <v>2</v>
      </c>
      <c r="FI40" s="661">
        <f t="shared" si="130"/>
        <v>2.0002300000000002</v>
      </c>
      <c r="FJ40" s="663">
        <f t="shared" si="131"/>
        <v>2.3000000000017451E-4</v>
      </c>
      <c r="FK40" s="726">
        <f t="shared" si="132"/>
        <v>0</v>
      </c>
      <c r="FL40" s="726">
        <f t="shared" si="133"/>
        <v>0</v>
      </c>
      <c r="FM40" s="726">
        <f t="shared" si="110"/>
        <v>0</v>
      </c>
      <c r="FN40" s="665">
        <f t="shared" si="134"/>
        <v>0</v>
      </c>
      <c r="FO40" s="665">
        <f t="shared" si="151"/>
        <v>2.0002300000000002</v>
      </c>
      <c r="FP40" s="726">
        <f t="shared" si="112"/>
        <v>0</v>
      </c>
      <c r="FQ40" s="316">
        <f t="shared" si="113"/>
        <v>0</v>
      </c>
      <c r="FR40" s="13">
        <f t="shared" si="114"/>
        <v>1</v>
      </c>
      <c r="FS40" s="290">
        <f t="shared" si="135"/>
        <v>0</v>
      </c>
      <c r="FT40" s="1192">
        <f t="shared" si="156"/>
        <v>2.0002300000000002</v>
      </c>
      <c r="FU40" s="1192"/>
      <c r="FV40" s="1192"/>
      <c r="FW40" s="1192"/>
      <c r="FX40" s="737">
        <f t="shared" si="116"/>
        <v>5.2E-7</v>
      </c>
      <c r="FY40" s="1114">
        <f t="shared" si="146"/>
        <v>2.0002305200000001</v>
      </c>
      <c r="FZ40" s="1114"/>
      <c r="GA40" s="1114"/>
      <c r="GB40" s="1114"/>
      <c r="GC40" s="1114"/>
      <c r="GD40"/>
      <c r="GE40"/>
      <c r="GF40"/>
      <c r="GG40"/>
      <c r="GH40" s="290"/>
      <c r="GJ40" s="290"/>
      <c r="GW40" s="1143">
        <v>8</v>
      </c>
      <c r="GX40" s="229" t="str">
        <f>IF($N$40="","",IF($IW$40=$GX$3,$IX$40,IF(AND($H$40=$GX$3,$L$40&lt;&gt;""),$L$40,IF(AND($H$40=$GX$3,$L$40=""),$M$40,""))))</f>
        <v/>
      </c>
      <c r="GY40" s="299">
        <v>52</v>
      </c>
      <c r="GZ40" s="300" t="str">
        <f t="shared" si="77"/>
        <v/>
      </c>
      <c r="HA40" s="93" t="str">
        <f t="shared" si="68"/>
        <v/>
      </c>
      <c r="HB40" s="300"/>
      <c r="HC40" s="93" t="str">
        <f t="shared" si="78"/>
        <v/>
      </c>
      <c r="HG40" s="1143">
        <v>8</v>
      </c>
      <c r="HH40" s="229" t="str">
        <f>IF($N$40="","",IF($IW$40=$HH$3,$IX$40,IF(AND($H$40=$HH$3,$L$40&lt;&gt;""),$L$40,IF(AND($H$40=$HH$3,$L$40=""),$M$40,""))))</f>
        <v/>
      </c>
      <c r="HI40" s="299">
        <v>52</v>
      </c>
      <c r="HJ40" s="300" t="str">
        <f t="shared" si="79"/>
        <v/>
      </c>
      <c r="HK40" s="93" t="str">
        <f t="shared" si="69"/>
        <v/>
      </c>
      <c r="HL40" s="300"/>
      <c r="HM40" s="93" t="str">
        <f t="shared" si="70"/>
        <v/>
      </c>
      <c r="HN40" s="1150">
        <v>6</v>
      </c>
      <c r="HO40" s="131" t="str">
        <f>IF($H35="",$D35,$H35)</f>
        <v>Simon Reitsma</v>
      </c>
      <c r="HP40" s="327"/>
      <c r="HQ40" s="327" t="str">
        <f>IF($L35="","",$L35)</f>
        <v/>
      </c>
      <c r="HR40" s="327">
        <v>0.01</v>
      </c>
      <c r="HS40" s="458">
        <f>IF($M35="","",SUM(HR40+$M35))</f>
        <v>0.01</v>
      </c>
      <c r="HT40" s="327">
        <f>RANK(HS40,HS37:HS40)</f>
        <v>4</v>
      </c>
      <c r="HU40" s="327" t="str">
        <f>IF(HQ40="",HO40,HO40&amp;" ("&amp;HQ40&amp;")")</f>
        <v>Simon Reitsma</v>
      </c>
      <c r="HV40" s="328">
        <v>4</v>
      </c>
      <c r="HW40" s="337" t="str">
        <f>IF(N32="","",VLOOKUP(HV40,HT37:HU40,2,FALSE))</f>
        <v>Simon Reitsma</v>
      </c>
      <c r="HX40" s="1150">
        <v>14</v>
      </c>
      <c r="HY40" s="131" t="str">
        <f>IF($W35="",$S35,$W35)</f>
        <v>Harald Simon</v>
      </c>
      <c r="HZ40" s="327"/>
      <c r="IA40" s="327" t="str">
        <f>IF($AA35="","",$AA35)</f>
        <v/>
      </c>
      <c r="IB40" s="327">
        <v>0.01</v>
      </c>
      <c r="IC40" s="458">
        <f>IF($AB35="","",SUM(IB40+$AB35))</f>
        <v>1.01</v>
      </c>
      <c r="ID40" s="327">
        <f>RANK(IC40,IC37:IC40)</f>
        <v>3</v>
      </c>
      <c r="IE40" s="327" t="str">
        <f>IF(IA40="",HY40,HY40&amp;" ("&amp;IA40&amp;")")</f>
        <v>Harald Simon</v>
      </c>
      <c r="IF40" s="344">
        <v>4</v>
      </c>
      <c r="IG40" s="337" t="str">
        <f>IF(AC32="","",VLOOKUP(IF40,ID37:IE40,2,FALSE))</f>
        <v>Daniel Henderson</v>
      </c>
      <c r="IH40" s="1147">
        <v>6</v>
      </c>
      <c r="II40" s="362" t="str">
        <f>IF($AL35="",$AH35,$AL35)</f>
        <v>Gunter Bauer</v>
      </c>
      <c r="IJ40" s="338"/>
      <c r="IK40" s="338" t="str">
        <f>IF($AP35="","",IF($AL35&lt;&gt;"","",$AP35))</f>
        <v/>
      </c>
      <c r="IL40" s="327">
        <v>0.01</v>
      </c>
      <c r="IM40" s="338">
        <f>IF($AQ35="","",SUM(IL40+$AQ35))</f>
        <v>0.01</v>
      </c>
      <c r="IN40" s="327">
        <f>RANK(IM40,IM37:IM40)</f>
        <v>4</v>
      </c>
      <c r="IO40" s="338" t="str">
        <f>IF(IK40="",II40,II40&amp;" ("&amp;IK40&amp;")")</f>
        <v>Gunter Bauer</v>
      </c>
      <c r="IP40" s="351">
        <v>4</v>
      </c>
      <c r="IQ40" s="339" t="str">
        <f>IF($AQ$35="","",VLOOKUP($IP40,$IN$37:$IO$40,2,FALSE))</f>
        <v>Gunter Bauer</v>
      </c>
      <c r="IU40" s="1111">
        <v>8</v>
      </c>
      <c r="IV40" s="695"/>
      <c r="IW40" s="696" t="str">
        <f t="shared" si="71"/>
        <v/>
      </c>
      <c r="IX40" s="697"/>
      <c r="IZ40" s="1111">
        <v>16</v>
      </c>
      <c r="JA40" s="695"/>
      <c r="JB40" s="696" t="str">
        <f t="shared" si="72"/>
        <v/>
      </c>
      <c r="JC40" s="697"/>
      <c r="JE40" s="705"/>
      <c r="JF40" s="705"/>
      <c r="JG40" s="705"/>
      <c r="JH40" s="705"/>
    </row>
    <row r="41" spans="1:268" ht="12.75" customHeight="1" thickBot="1">
      <c r="A41" s="1212"/>
      <c r="B41" s="39">
        <v>8</v>
      </c>
      <c r="C41" s="101">
        <f>R$9</f>
        <v>7</v>
      </c>
      <c r="D41" s="517" t="str">
        <f>S$9</f>
        <v>Gunter Bauer</v>
      </c>
      <c r="E41" s="1011"/>
      <c r="F41" s="525" t="str">
        <f t="shared" si="52"/>
        <v/>
      </c>
      <c r="G41" s="1019"/>
      <c r="H41" s="1198" t="str">
        <f t="shared" si="53"/>
        <v/>
      </c>
      <c r="I41" s="1198"/>
      <c r="J41" s="1198"/>
      <c r="K41" s="1198"/>
      <c r="L41" s="508"/>
      <c r="M41" s="146">
        <f>IF(N40="","",IF(N40="B",3,IF(N41="B",2,IF(N42="B",1,IF(N43="B",0,0)))))</f>
        <v>2</v>
      </c>
      <c r="N41" s="707" t="s">
        <v>46</v>
      </c>
      <c r="O41" s="268"/>
      <c r="P41" s="1212"/>
      <c r="Q41" s="39">
        <v>6</v>
      </c>
      <c r="R41" s="101">
        <f>R$7</f>
        <v>16</v>
      </c>
      <c r="S41" s="517" t="str">
        <f>S$7</f>
        <v>Rene Stellingwerf</v>
      </c>
      <c r="T41" s="1011" t="s">
        <v>313</v>
      </c>
      <c r="U41" s="525" t="str">
        <f t="shared" si="80"/>
        <v>N</v>
      </c>
      <c r="V41" s="1019">
        <v>17</v>
      </c>
      <c r="W41" s="1198" t="str">
        <f t="shared" si="54"/>
        <v>Simon Reitsma</v>
      </c>
      <c r="X41" s="1198"/>
      <c r="Y41" s="1198"/>
      <c r="Z41" s="1198"/>
      <c r="AA41" s="508"/>
      <c r="AB41" s="146">
        <f>IF(AC40="","",IF(AC40="B",3,IF(AC41="B",2,IF(AC42="B",1,IF(AC43="B",0,0)))))</f>
        <v>0</v>
      </c>
      <c r="AC41" s="724" t="s">
        <v>12</v>
      </c>
      <c r="AD41" s="269"/>
      <c r="AE41" s="1209"/>
      <c r="AF41" s="101"/>
      <c r="AG41" s="101">
        <f t="shared" si="142"/>
        <v>4</v>
      </c>
      <c r="AH41" s="517" t="str">
        <f>IF(AW40="B",AV40,IF(AW41="B",AV41,IF(AW42="B",AV42,IF(AW43="B",AV43,""))))</f>
        <v>Igor Kononov</v>
      </c>
      <c r="AI41" s="522"/>
      <c r="AJ41" s="522"/>
      <c r="AK41" s="531"/>
      <c r="AL41" s="1215"/>
      <c r="AM41" s="1215"/>
      <c r="AN41" s="1215"/>
      <c r="AO41" s="1215"/>
      <c r="AP41" s="508"/>
      <c r="AQ41" s="488">
        <f>IF(AR40="","",IF(AP41&lt;&gt;"",0,IF(AR40="B",3,IF(AR41="B",2,IF(AR42="B",1,IF(AR43="B",0,0.000000001))))))</f>
        <v>0</v>
      </c>
      <c r="AR41" s="724" t="s">
        <v>222</v>
      </c>
      <c r="AS41" s="505"/>
      <c r="AT41" s="290"/>
      <c r="AU41" s="290"/>
      <c r="AV41" s="454" t="str">
        <f>IF(AQ$39="","",IF(AY41&lt;&gt;"",AZ41,VLOOKUP(2,BL$48:BN$51,3,FALSE)))</f>
        <v>Dimitry Khomitsevich</v>
      </c>
      <c r="AW41" s="724" t="s">
        <v>221</v>
      </c>
      <c r="AX41" s="268"/>
      <c r="AY41" s="929"/>
      <c r="AZ41" s="1090" t="str">
        <f t="shared" si="143"/>
        <v/>
      </c>
      <c r="BA41" s="1091"/>
      <c r="BB41" s="1091"/>
      <c r="BC41" s="1091"/>
      <c r="BD41" s="1092"/>
      <c r="BI41" s="265">
        <f>IF(AQ41="","",AQ41+1)</f>
        <v>1</v>
      </c>
      <c r="BJ41" s="16">
        <f>VLOOKUP(AH41,$FB$66:$FC$83,2,FALSE)</f>
        <v>14</v>
      </c>
      <c r="BK41" s="290"/>
      <c r="BM41" s="8">
        <f>$M41</f>
        <v>2</v>
      </c>
      <c r="BR41" s="8">
        <f>$AB41</f>
        <v>0</v>
      </c>
      <c r="BW41" s="8">
        <f>$AQ41</f>
        <v>0</v>
      </c>
      <c r="BY41" s="8"/>
      <c r="CA41" s="16"/>
      <c r="CB41" s="13">
        <v>2</v>
      </c>
      <c r="CG41" s="13">
        <v>15</v>
      </c>
      <c r="CH41" s="13" t="str">
        <f t="shared" si="117"/>
        <v>Stefan Pletschacher</v>
      </c>
      <c r="CI41" s="14">
        <f t="shared" si="82"/>
        <v>1</v>
      </c>
      <c r="CU41" s="13">
        <f t="shared" si="118"/>
        <v>1</v>
      </c>
      <c r="CV41" s="13">
        <f t="shared" si="157"/>
        <v>2</v>
      </c>
      <c r="CW41" s="13" t="str">
        <f t="shared" si="157"/>
        <v>Dimitry Koltakov</v>
      </c>
      <c r="CX41" s="13">
        <f t="shared" si="157"/>
        <v>3</v>
      </c>
      <c r="CY41" s="13">
        <f t="shared" si="157"/>
        <v>3</v>
      </c>
      <c r="CZ41" s="13">
        <f t="shared" si="157"/>
        <v>3</v>
      </c>
      <c r="DA41" s="13">
        <f t="shared" si="157"/>
        <v>3</v>
      </c>
      <c r="DC41" s="13">
        <f t="shared" si="119"/>
        <v>12</v>
      </c>
      <c r="DD41" s="243">
        <f t="shared" si="84"/>
        <v>4</v>
      </c>
      <c r="DE41" s="236">
        <f t="shared" si="120"/>
        <v>0.04</v>
      </c>
      <c r="DF41" s="232">
        <f t="shared" si="85"/>
        <v>0</v>
      </c>
      <c r="DG41" s="234">
        <f t="shared" si="121"/>
        <v>0</v>
      </c>
      <c r="DH41" s="232">
        <f t="shared" si="86"/>
        <v>0</v>
      </c>
      <c r="DI41" s="41">
        <f t="shared" si="122"/>
        <v>0</v>
      </c>
      <c r="DJ41" s="271">
        <f t="shared" si="87"/>
        <v>0</v>
      </c>
      <c r="DK41" s="273">
        <f t="shared" si="88"/>
        <v>0</v>
      </c>
      <c r="DL41" s="281">
        <f t="shared" si="89"/>
        <v>0</v>
      </c>
      <c r="DM41" s="239">
        <f t="shared" si="90"/>
        <v>5.7999999999999995E-7</v>
      </c>
      <c r="DN41" s="285">
        <f t="shared" si="91"/>
        <v>12.04</v>
      </c>
      <c r="DO41" s="285">
        <f t="shared" si="92"/>
        <v>12.04</v>
      </c>
      <c r="DP41" s="285">
        <f t="shared" si="93"/>
        <v>12.040000579999999</v>
      </c>
      <c r="DQ41" s="597"/>
      <c r="DR41" s="205" t="str">
        <f t="shared" si="123"/>
        <v/>
      </c>
      <c r="DS41" s="4" t="str">
        <f t="shared" si="136"/>
        <v/>
      </c>
      <c r="DT41" s="4" t="str">
        <f t="shared" si="138"/>
        <v/>
      </c>
      <c r="DU41" s="4" t="str">
        <f t="shared" si="140"/>
        <v/>
      </c>
      <c r="DV41" s="4" t="str">
        <f t="shared" si="144"/>
        <v/>
      </c>
      <c r="DW41" s="4" t="str">
        <f t="shared" si="147"/>
        <v/>
      </c>
      <c r="DX41" s="4" t="str">
        <f t="shared" si="149"/>
        <v/>
      </c>
      <c r="DY41" s="4" t="str">
        <f t="shared" si="152"/>
        <v/>
      </c>
      <c r="DZ41" s="4" t="str">
        <f t="shared" si="154"/>
        <v/>
      </c>
      <c r="EA41" s="4" t="str">
        <f t="shared" si="158"/>
        <v/>
      </c>
      <c r="EB41" s="4" t="str">
        <f>IF($FO41=$FO$37,$CV17,"")</f>
        <v/>
      </c>
      <c r="EC41" s="4" t="str">
        <f>IF($FO41=$FO$38,$CV17,"")</f>
        <v/>
      </c>
      <c r="ED41" s="4" t="str">
        <f>IF($FO41=$FO$39,$CV17,"")</f>
        <v/>
      </c>
      <c r="EE41" s="4" t="str">
        <f>IF($FO41=$FO$40,$CV17,"")</f>
        <v/>
      </c>
      <c r="EF41" s="208"/>
      <c r="EG41" s="225" t="str">
        <f t="shared" si="103"/>
        <v/>
      </c>
      <c r="EH41" s="215">
        <f>$AG$8</f>
        <v>2</v>
      </c>
      <c r="EI41" s="205" t="str">
        <f>IF(DR$41="","",FT$17)</f>
        <v/>
      </c>
      <c r="EJ41" s="4" t="str">
        <f t="shared" ref="EJ41:EX41" si="163">IF(DS$41="","",FU$17)</f>
        <v/>
      </c>
      <c r="EK41" s="4" t="str">
        <f t="shared" si="163"/>
        <v/>
      </c>
      <c r="EL41" s="4" t="str">
        <f t="shared" si="163"/>
        <v/>
      </c>
      <c r="EM41" s="4" t="str">
        <f t="shared" si="163"/>
        <v/>
      </c>
      <c r="EN41" s="4" t="str">
        <f t="shared" si="163"/>
        <v/>
      </c>
      <c r="EO41" s="4" t="str">
        <f t="shared" si="163"/>
        <v/>
      </c>
      <c r="EP41" s="4" t="str">
        <f t="shared" si="163"/>
        <v/>
      </c>
      <c r="EQ41" s="4" t="str">
        <f t="shared" si="163"/>
        <v/>
      </c>
      <c r="ER41" s="4" t="str">
        <f t="shared" si="163"/>
        <v/>
      </c>
      <c r="ES41" s="4" t="str">
        <f t="shared" si="163"/>
        <v/>
      </c>
      <c r="ET41" s="4" t="str">
        <f t="shared" si="163"/>
        <v/>
      </c>
      <c r="EU41" s="4" t="str">
        <f t="shared" si="163"/>
        <v/>
      </c>
      <c r="EV41" s="4" t="str">
        <f t="shared" si="163"/>
        <v/>
      </c>
      <c r="EW41" s="208"/>
      <c r="EX41" s="225" t="str">
        <f t="shared" si="163"/>
        <v/>
      </c>
      <c r="EY41" s="230">
        <f t="shared" si="125"/>
        <v>0</v>
      </c>
      <c r="EZ41" s="13">
        <f t="shared" si="105"/>
        <v>1</v>
      </c>
      <c r="FA41" s="657">
        <f t="shared" si="106"/>
        <v>2</v>
      </c>
      <c r="FB41" s="654" t="str">
        <f t="shared" si="107"/>
        <v>Dimitry Koltakov</v>
      </c>
      <c r="FC41" s="655">
        <f t="shared" si="126"/>
        <v>15</v>
      </c>
      <c r="FD41" s="655">
        <f t="shared" si="127"/>
        <v>1</v>
      </c>
      <c r="FE41" s="655">
        <f t="shared" si="108"/>
        <v>3</v>
      </c>
      <c r="FF41" s="655">
        <f t="shared" si="128"/>
        <v>2</v>
      </c>
      <c r="FG41" s="658">
        <f t="shared" si="109"/>
        <v>3</v>
      </c>
      <c r="FH41" s="656">
        <f t="shared" si="129"/>
        <v>21</v>
      </c>
      <c r="FI41" s="661">
        <f t="shared" si="130"/>
        <v>15.05</v>
      </c>
      <c r="FJ41" s="663">
        <f t="shared" si="131"/>
        <v>5.0000000000000711E-2</v>
      </c>
      <c r="FK41" s="726">
        <f t="shared" si="132"/>
        <v>0.01</v>
      </c>
      <c r="FL41" s="726">
        <f t="shared" si="133"/>
        <v>0</v>
      </c>
      <c r="FM41" s="726">
        <f t="shared" si="110"/>
        <v>0</v>
      </c>
      <c r="FN41" s="665">
        <f t="shared" si="134"/>
        <v>0</v>
      </c>
      <c r="FO41" s="665">
        <f t="shared" si="151"/>
        <v>21.060000000000002</v>
      </c>
      <c r="FP41" s="726">
        <f t="shared" si="112"/>
        <v>0</v>
      </c>
      <c r="FQ41" s="316">
        <f t="shared" si="113"/>
        <v>0</v>
      </c>
      <c r="FR41" s="13">
        <f t="shared" si="114"/>
        <v>1</v>
      </c>
      <c r="FS41" s="290">
        <f t="shared" si="135"/>
        <v>0</v>
      </c>
      <c r="FT41" s="1192">
        <f t="shared" si="156"/>
        <v>50</v>
      </c>
      <c r="FU41" s="1192"/>
      <c r="FV41" s="1192"/>
      <c r="FW41" s="1192"/>
      <c r="FX41" s="737">
        <f t="shared" si="116"/>
        <v>5.7999999999999995E-7</v>
      </c>
      <c r="FY41" s="1114">
        <f t="shared" si="146"/>
        <v>50.000000579999998</v>
      </c>
      <c r="FZ41" s="1114"/>
      <c r="GA41" s="1114"/>
      <c r="GB41" s="1114"/>
      <c r="GC41" s="1114"/>
      <c r="GD41"/>
      <c r="GE41"/>
      <c r="GF41"/>
      <c r="GG41"/>
      <c r="GH41" s="290"/>
      <c r="GJ41" s="290"/>
      <c r="GW41" s="1144"/>
      <c r="GX41" s="230" t="str">
        <f>IF($N$40="","",IF($IW$41=$GX$3,$IX$41,IF(AND($H$41=$GX$3,$L$41&lt;&gt;""),$L$41,IF(AND($H$41=$GX$3,$L$41=""),$M$41,""))))</f>
        <v/>
      </c>
      <c r="GY41" s="301">
        <v>51</v>
      </c>
      <c r="GZ41" s="5" t="str">
        <f t="shared" si="77"/>
        <v/>
      </c>
      <c r="HA41" s="95" t="str">
        <f t="shared" si="68"/>
        <v/>
      </c>
      <c r="HB41" s="5"/>
      <c r="HC41" s="95" t="str">
        <f t="shared" si="78"/>
        <v/>
      </c>
      <c r="HG41" s="1144"/>
      <c r="HH41" s="230" t="str">
        <f>IF($N$40="","",IF($IW$41=$HH$3,$IX$41,IF(AND($H$41=$HH$3,$L$41&lt;&gt;""),$L$41,IF(AND($H$41=$HH$3,$L$41=""),$M$41,""))))</f>
        <v/>
      </c>
      <c r="HI41" s="301">
        <v>51</v>
      </c>
      <c r="HJ41" s="5" t="str">
        <f t="shared" si="79"/>
        <v/>
      </c>
      <c r="HK41" s="95" t="str">
        <f t="shared" si="69"/>
        <v/>
      </c>
      <c r="HL41" s="5"/>
      <c r="HM41" s="95" t="str">
        <f t="shared" si="70"/>
        <v/>
      </c>
      <c r="HN41" s="348" t="str">
        <f>IF($A35="","",$A35)</f>
        <v>60,78</v>
      </c>
      <c r="HO41" s="132" t="str">
        <f>IF($H32&lt;&gt;"",$D32,IF($H33&lt;&gt;"",$D33,IF($H34&lt;&gt;"",$D34,IF($H35&lt;&gt;"",$D35,""))))</f>
        <v>Rene Stellingwerf</v>
      </c>
      <c r="HP41" s="338" t="str">
        <f>IF(HO41="","",VLOOKUP($HO41,$CW$3:$DB$18,3,FALSE))</f>
        <v>N</v>
      </c>
      <c r="HQ41" s="338"/>
      <c r="HR41" s="338"/>
      <c r="HS41" s="338">
        <v>5</v>
      </c>
      <c r="HT41" s="338"/>
      <c r="HU41" s="132" t="str">
        <f>IF(HO41="","",HO41&amp;" ("&amp;HP41&amp;")")</f>
        <v>Rene Stellingwerf (N)</v>
      </c>
      <c r="HV41" s="349">
        <v>5</v>
      </c>
      <c r="HW41" s="339" t="str">
        <f>IF(HU41="","",HU41)</f>
        <v>Rene Stellingwerf (N)</v>
      </c>
      <c r="HX41" s="348" t="str">
        <f>IF($P35="","",$P35)</f>
        <v>62,38</v>
      </c>
      <c r="HY41" s="132" t="str">
        <f>IF($W32&lt;&gt;"",$S32,IF($W33&lt;&gt;"",$S33,IF($W34&lt;&gt;"",$S34,IF($W35&lt;&gt;"",$S35,""))))</f>
        <v/>
      </c>
      <c r="HZ41" s="338" t="str">
        <f>IF(HY41="","",VLOOKUP($HY41,$CW$3:$DB$18,5,FALSE))</f>
        <v/>
      </c>
      <c r="IA41" s="338"/>
      <c r="IB41" s="338"/>
      <c r="IC41" s="338">
        <v>5</v>
      </c>
      <c r="ID41" s="338"/>
      <c r="IE41" s="132" t="str">
        <f>IF(HY41="","",HY41&amp;" ("&amp;HZ41&amp;")")</f>
        <v/>
      </c>
      <c r="IF41" s="351">
        <v>5</v>
      </c>
      <c r="IG41" s="339" t="str">
        <f>IF(IE41="","",IE41)</f>
        <v/>
      </c>
      <c r="IH41" s="363" t="str">
        <f>IF($AE35="","",$AE35)</f>
        <v>61,94</v>
      </c>
      <c r="II41"/>
      <c r="IJ41"/>
      <c r="IK41"/>
      <c r="IL41"/>
      <c r="IM41"/>
      <c r="IN41"/>
      <c r="IO41"/>
      <c r="IP41"/>
      <c r="IQ41"/>
      <c r="IU41" s="1112"/>
      <c r="IV41" s="698"/>
      <c r="IW41" s="699" t="str">
        <f t="shared" si="71"/>
        <v/>
      </c>
      <c r="IX41" s="700"/>
      <c r="IZ41" s="1112"/>
      <c r="JA41" s="698"/>
      <c r="JB41" s="699" t="str">
        <f t="shared" si="72"/>
        <v/>
      </c>
      <c r="JC41" s="700"/>
      <c r="JE41" s="705"/>
      <c r="JF41" s="705"/>
      <c r="JG41" s="705"/>
      <c r="JH41" s="705"/>
    </row>
    <row r="42" spans="1:268" ht="12.75" customHeight="1" thickBot="1">
      <c r="A42" s="1212"/>
      <c r="B42" s="39">
        <v>12</v>
      </c>
      <c r="C42" s="102">
        <f>AG$5</f>
        <v>11</v>
      </c>
      <c r="D42" s="517" t="str">
        <f>AH$5</f>
        <v>Vitaly Khomitsevich</v>
      </c>
      <c r="E42" s="1011"/>
      <c r="F42" s="525" t="str">
        <f t="shared" si="52"/>
        <v/>
      </c>
      <c r="G42" s="1020"/>
      <c r="H42" s="1198" t="str">
        <f t="shared" si="53"/>
        <v/>
      </c>
      <c r="I42" s="1198"/>
      <c r="J42" s="1198"/>
      <c r="K42" s="1198"/>
      <c r="L42" s="508"/>
      <c r="M42" s="146">
        <f>IF(N40="","",IF(N40="w",3,IF(N41="w",2,IF(N42="w",1,IF(N43="w",0,0)))))</f>
        <v>3</v>
      </c>
      <c r="N42" s="707" t="s">
        <v>222</v>
      </c>
      <c r="O42" s="268"/>
      <c r="P42" s="1212"/>
      <c r="Q42" s="39">
        <v>4</v>
      </c>
      <c r="R42" s="102">
        <f>R$5</f>
        <v>6</v>
      </c>
      <c r="S42" s="517" t="str">
        <f>S$5</f>
        <v>Jan Klatovsky</v>
      </c>
      <c r="T42" s="1011"/>
      <c r="U42" s="525" t="str">
        <f t="shared" si="80"/>
        <v/>
      </c>
      <c r="V42" s="1020"/>
      <c r="W42" s="1198" t="str">
        <f t="shared" si="54"/>
        <v/>
      </c>
      <c r="X42" s="1198"/>
      <c r="Y42" s="1198"/>
      <c r="Z42" s="1198"/>
      <c r="AA42" s="508"/>
      <c r="AB42" s="146">
        <f>IF(AC40="","",IF(AC40="w",3,IF(AC41="w",2,IF(AC42="w",1,IF(AC43="w",0,0)))))</f>
        <v>1</v>
      </c>
      <c r="AC42" s="724" t="s">
        <v>221</v>
      </c>
      <c r="AD42" s="269"/>
      <c r="AE42" s="1209"/>
      <c r="AF42" s="102"/>
      <c r="AG42" s="102">
        <f t="shared" si="142"/>
        <v>3</v>
      </c>
      <c r="AH42" s="517" t="str">
        <f>IF(AW40="W",AV40,IF(AW41="W",AV41,IF(AW42="W",AV42,IF(AW43="W",AV43,""))))</f>
        <v>Dimitry Khomitsevich</v>
      </c>
      <c r="AI42" s="522"/>
      <c r="AJ42" s="522"/>
      <c r="AK42" s="531"/>
      <c r="AL42" s="1215"/>
      <c r="AM42" s="1215"/>
      <c r="AN42" s="1215"/>
      <c r="AO42" s="1215"/>
      <c r="AP42" s="508"/>
      <c r="AQ42" s="488">
        <f>IF(AR40="","",IF(AP42&lt;&gt;"",0,IF(AR40="w",3,IF(AR41="w",2,IF(AR42="w",1,IF(AR43="w",0,0.000000001))))))</f>
        <v>1</v>
      </c>
      <c r="AR42" s="724" t="s">
        <v>221</v>
      </c>
      <c r="AS42" s="505"/>
      <c r="AT42" s="290"/>
      <c r="AU42" s="290"/>
      <c r="AV42" s="454" t="str">
        <f>IF(AQ$39="","",IF(AY42&lt;&gt;"",AZ42,VLOOKUP(3,BL$48:BN$51,3,FALSE)))</f>
        <v>Daniil Ivanov</v>
      </c>
      <c r="AW42" s="724" t="s">
        <v>222</v>
      </c>
      <c r="AX42" s="268"/>
      <c r="AY42" s="929"/>
      <c r="AZ42" s="1090" t="str">
        <f>IF(AY42="","",VLOOKUP(AY42,$CV$3:$CW$20,2,FALSE))</f>
        <v/>
      </c>
      <c r="BA42" s="1091"/>
      <c r="BB42" s="1091"/>
      <c r="BC42" s="1091"/>
      <c r="BD42" s="1092"/>
      <c r="BI42" s="265">
        <f>IF(AQ42="","",AQ42+1)</f>
        <v>2</v>
      </c>
      <c r="BJ42" s="16">
        <f>VLOOKUP(AH42,$FB$66:$FC$83,2,FALSE)</f>
        <v>18</v>
      </c>
      <c r="BK42" s="290"/>
      <c r="BN42" s="8">
        <f>$M42</f>
        <v>3</v>
      </c>
      <c r="BS42" s="8">
        <f>$AB42</f>
        <v>1</v>
      </c>
      <c r="BX42" s="8">
        <f>$AQ42</f>
        <v>1</v>
      </c>
      <c r="BY42" s="8"/>
      <c r="CA42" s="16"/>
      <c r="CB42" s="13">
        <v>3</v>
      </c>
      <c r="CG42" s="13">
        <v>16</v>
      </c>
      <c r="CH42" s="13" t="str">
        <f t="shared" si="117"/>
        <v>Simon Reitsma</v>
      </c>
      <c r="CI42" s="14">
        <f t="shared" si="82"/>
        <v>0</v>
      </c>
      <c r="CU42" s="13">
        <f t="shared" si="118"/>
        <v>5</v>
      </c>
      <c r="CV42" s="13">
        <f t="shared" si="157"/>
        <v>5</v>
      </c>
      <c r="CW42" s="13" t="str">
        <f t="shared" si="157"/>
        <v>Stefan Svensson</v>
      </c>
      <c r="CX42" s="13">
        <f t="shared" si="157"/>
        <v>2</v>
      </c>
      <c r="CY42" s="13">
        <f t="shared" si="157"/>
        <v>1</v>
      </c>
      <c r="CZ42" s="13">
        <f t="shared" si="157"/>
        <v>3</v>
      </c>
      <c r="DA42" s="13">
        <f t="shared" si="157"/>
        <v>2</v>
      </c>
      <c r="DC42" s="13">
        <f t="shared" si="119"/>
        <v>8</v>
      </c>
      <c r="DD42" s="243">
        <f t="shared" si="84"/>
        <v>1</v>
      </c>
      <c r="DE42" s="236">
        <f t="shared" si="120"/>
        <v>0.01</v>
      </c>
      <c r="DF42" s="232">
        <f t="shared" si="85"/>
        <v>2</v>
      </c>
      <c r="DG42" s="234">
        <f t="shared" si="121"/>
        <v>2E-3</v>
      </c>
      <c r="DH42" s="232">
        <f t="shared" si="86"/>
        <v>1</v>
      </c>
      <c r="DI42" s="41">
        <f t="shared" si="122"/>
        <v>1E-4</v>
      </c>
      <c r="DJ42" s="271">
        <f t="shared" si="87"/>
        <v>0</v>
      </c>
      <c r="DK42" s="273">
        <f t="shared" si="88"/>
        <v>0</v>
      </c>
      <c r="DL42" s="281">
        <f t="shared" si="89"/>
        <v>0</v>
      </c>
      <c r="DM42" s="238">
        <f t="shared" si="90"/>
        <v>5.5000000000000003E-7</v>
      </c>
      <c r="DN42" s="284">
        <f t="shared" si="91"/>
        <v>8.0121000000000002</v>
      </c>
      <c r="DO42" s="284">
        <f t="shared" si="92"/>
        <v>8.0121000000000002</v>
      </c>
      <c r="DP42" s="284">
        <f t="shared" si="93"/>
        <v>8.0121005499999995</v>
      </c>
      <c r="DQ42" s="597"/>
      <c r="DR42" s="206" t="str">
        <f t="shared" si="123"/>
        <v/>
      </c>
      <c r="DS42" s="38" t="str">
        <f t="shared" si="136"/>
        <v/>
      </c>
      <c r="DT42" s="38" t="str">
        <f t="shared" si="138"/>
        <v/>
      </c>
      <c r="DU42" s="38" t="str">
        <f t="shared" si="140"/>
        <v/>
      </c>
      <c r="DV42" s="38" t="str">
        <f t="shared" si="144"/>
        <v/>
      </c>
      <c r="DW42" s="38" t="str">
        <f t="shared" si="147"/>
        <v/>
      </c>
      <c r="DX42" s="38" t="str">
        <f t="shared" si="149"/>
        <v/>
      </c>
      <c r="DY42" s="38" t="str">
        <f t="shared" si="152"/>
        <v/>
      </c>
      <c r="DZ42" s="38" t="str">
        <f t="shared" si="154"/>
        <v/>
      </c>
      <c r="EA42" s="38" t="str">
        <f t="shared" si="158"/>
        <v/>
      </c>
      <c r="EB42" s="38" t="str">
        <f>IF($FO42=$FO$37,$CV18,"")</f>
        <v/>
      </c>
      <c r="EC42" s="38" t="str">
        <f>IF($FO42=$FO$38,$CV18,"")</f>
        <v/>
      </c>
      <c r="ED42" s="38" t="str">
        <f>IF($FO42=$FO$39,$CV18,"")</f>
        <v/>
      </c>
      <c r="EE42" s="38" t="str">
        <f>IF($FO42=$FO$40,$CV18,"")</f>
        <v/>
      </c>
      <c r="EF42" s="38" t="str">
        <f>IF($FO42=$FO$41,$CV18,"")</f>
        <v/>
      </c>
      <c r="EG42" s="226"/>
      <c r="EH42" s="216">
        <f>$AG$9</f>
        <v>5</v>
      </c>
      <c r="EI42" s="206" t="str">
        <f>IF(DR$42="","",FT$18)</f>
        <v/>
      </c>
      <c r="EJ42" s="38" t="str">
        <f t="shared" ref="EJ42:EW42" si="164">IF(DS$42="","",FU$18)</f>
        <v/>
      </c>
      <c r="EK42" s="38" t="str">
        <f t="shared" si="164"/>
        <v/>
      </c>
      <c r="EL42" s="38" t="str">
        <f t="shared" si="164"/>
        <v/>
      </c>
      <c r="EM42" s="38" t="str">
        <f t="shared" si="164"/>
        <v/>
      </c>
      <c r="EN42" s="38" t="str">
        <f t="shared" si="164"/>
        <v/>
      </c>
      <c r="EO42" s="38" t="str">
        <f t="shared" si="164"/>
        <v/>
      </c>
      <c r="EP42" s="38" t="str">
        <f t="shared" si="164"/>
        <v/>
      </c>
      <c r="EQ42" s="38" t="str">
        <f t="shared" si="164"/>
        <v/>
      </c>
      <c r="ER42" s="38" t="str">
        <f t="shared" si="164"/>
        <v/>
      </c>
      <c r="ES42" s="38" t="str">
        <f t="shared" si="164"/>
        <v/>
      </c>
      <c r="ET42" s="38" t="str">
        <f t="shared" si="164"/>
        <v/>
      </c>
      <c r="EU42" s="38" t="str">
        <f t="shared" si="164"/>
        <v/>
      </c>
      <c r="EV42" s="38" t="str">
        <f t="shared" si="164"/>
        <v/>
      </c>
      <c r="EW42" s="38" t="str">
        <f t="shared" si="164"/>
        <v/>
      </c>
      <c r="EX42" s="226"/>
      <c r="EY42" s="231">
        <f t="shared" si="125"/>
        <v>0</v>
      </c>
      <c r="EZ42" s="13">
        <f t="shared" si="105"/>
        <v>8</v>
      </c>
      <c r="FA42" s="657">
        <f t="shared" si="106"/>
        <v>5</v>
      </c>
      <c r="FB42" s="654" t="str">
        <f t="shared" si="107"/>
        <v>Stefan Svensson</v>
      </c>
      <c r="FC42" s="655">
        <f t="shared" si="126"/>
        <v>8</v>
      </c>
      <c r="FD42" s="655">
        <f t="shared" si="127"/>
        <v>1</v>
      </c>
      <c r="FE42" s="655">
        <f t="shared" si="108"/>
        <v>0</v>
      </c>
      <c r="FF42" s="655">
        <f t="shared" si="128"/>
        <v>1</v>
      </c>
      <c r="FG42" s="658">
        <f t="shared" si="109"/>
        <v>0</v>
      </c>
      <c r="FH42" s="656">
        <f t="shared" si="129"/>
        <v>8</v>
      </c>
      <c r="FI42" s="661">
        <f t="shared" si="130"/>
        <v>8.0121099999999998</v>
      </c>
      <c r="FJ42" s="663">
        <f t="shared" si="131"/>
        <v>1.2109999999999843E-2</v>
      </c>
      <c r="FK42" s="726">
        <f t="shared" si="132"/>
        <v>0</v>
      </c>
      <c r="FL42" s="726">
        <f t="shared" si="133"/>
        <v>0</v>
      </c>
      <c r="FM42" s="726">
        <f t="shared" si="110"/>
        <v>0</v>
      </c>
      <c r="FN42" s="665">
        <f t="shared" si="134"/>
        <v>1.0000000000000001E-5</v>
      </c>
      <c r="FO42" s="665">
        <f t="shared" si="151"/>
        <v>8.0121199999999995</v>
      </c>
      <c r="FP42" s="726">
        <f t="shared" si="112"/>
        <v>0</v>
      </c>
      <c r="FQ42" s="316">
        <f t="shared" si="113"/>
        <v>1</v>
      </c>
      <c r="FR42" s="13">
        <f t="shared" si="114"/>
        <v>1</v>
      </c>
      <c r="FS42" s="290">
        <f t="shared" si="135"/>
        <v>0</v>
      </c>
      <c r="FT42" s="1192">
        <f t="shared" si="156"/>
        <v>8.0121199999999995</v>
      </c>
      <c r="FU42" s="1192"/>
      <c r="FV42" s="1192"/>
      <c r="FW42" s="1192"/>
      <c r="FX42" s="737">
        <f t="shared" si="116"/>
        <v>5.5000000000000003E-7</v>
      </c>
      <c r="FY42" s="1114">
        <f t="shared" si="146"/>
        <v>8.0121205499999988</v>
      </c>
      <c r="FZ42" s="1114"/>
      <c r="GA42" s="1114"/>
      <c r="GB42" s="1114"/>
      <c r="GC42" s="1114"/>
      <c r="GD42"/>
      <c r="GE42"/>
      <c r="GF42"/>
      <c r="GG42"/>
      <c r="GH42" s="290"/>
      <c r="GJ42" s="290"/>
      <c r="GW42" s="1144"/>
      <c r="GX42" s="230" t="str">
        <f>IF($N$40="","",IF($IW$42=$GX$3,$IX$42,IF(AND($H$42=$GX$3,$L$42&lt;&gt;""),$L$42,IF(AND($H$42=$GX$3,$L$42=""),$M$42,""))))</f>
        <v/>
      </c>
      <c r="GY42" s="301">
        <v>50</v>
      </c>
      <c r="GZ42" s="5" t="str">
        <f t="shared" si="77"/>
        <v/>
      </c>
      <c r="HA42" s="95" t="str">
        <f t="shared" si="68"/>
        <v/>
      </c>
      <c r="HB42" s="5"/>
      <c r="HC42" s="95" t="str">
        <f t="shared" si="78"/>
        <v/>
      </c>
      <c r="HG42" s="1144"/>
      <c r="HH42" s="230" t="str">
        <f>IF($N$40="","",IF($IW$42=$HH$3,$IX$42,IF(AND($H$42=$HH$3,$L$42&lt;&gt;""),$L$42,IF(AND($H$42=$HH$3,$L$42=""),$M$42,""))))</f>
        <v/>
      </c>
      <c r="HI42" s="301">
        <v>50</v>
      </c>
      <c r="HJ42" s="5" t="str">
        <f t="shared" si="79"/>
        <v/>
      </c>
      <c r="HK42" s="95" t="str">
        <f t="shared" si="69"/>
        <v/>
      </c>
      <c r="HL42" s="5"/>
      <c r="HM42" s="95" t="str">
        <f t="shared" si="70"/>
        <v/>
      </c>
      <c r="HN42" s="1148">
        <v>7</v>
      </c>
      <c r="HO42" s="346" t="str">
        <f>IF($H36="",$D36,$H36)</f>
        <v>Harald Simon</v>
      </c>
      <c r="HP42" s="335"/>
      <c r="HQ42" s="335" t="str">
        <f>IF($L36="","",$L36)</f>
        <v/>
      </c>
      <c r="HR42" s="335">
        <v>0.04</v>
      </c>
      <c r="HS42" s="456">
        <f>IF($M36="","",SUM(HR42+$M36))</f>
        <v>0.04</v>
      </c>
      <c r="HT42" s="457">
        <f>RANK(HS42,HS42:HS45)</f>
        <v>4</v>
      </c>
      <c r="HU42" s="335" t="str">
        <f>IF(HQ42="",HO42,HO42&amp;" ("&amp;HQ42&amp;")")</f>
        <v>Harald Simon</v>
      </c>
      <c r="HV42" s="347">
        <v>1</v>
      </c>
      <c r="HW42" s="336" t="str">
        <f>IF(N36="","",VLOOKUP(HV42,HT42:HU45,2,FALSE))</f>
        <v>Dimitry Koltakov</v>
      </c>
      <c r="HX42" s="1148">
        <v>15</v>
      </c>
      <c r="HY42" s="346" t="str">
        <f>IF($W36="",$S36,$W36)</f>
        <v>Stefan Svensson</v>
      </c>
      <c r="HZ42" s="335"/>
      <c r="IA42" s="335" t="str">
        <f>IF($AA36="","",$AA36)</f>
        <v/>
      </c>
      <c r="IB42" s="335">
        <v>0.04</v>
      </c>
      <c r="IC42" s="456">
        <f>IF($AB36="","",SUM(IB42+$AB36))</f>
        <v>2.04</v>
      </c>
      <c r="ID42" s="457">
        <f>RANK(IC42,IC42:IC45)</f>
        <v>2</v>
      </c>
      <c r="IE42" s="335" t="str">
        <f>IF(IA42="",HY42,HY42&amp;" ("&amp;IA42&amp;")")</f>
        <v>Stefan Svensson</v>
      </c>
      <c r="IF42" s="350">
        <v>1</v>
      </c>
      <c r="IG42" s="336" t="str">
        <f>IF(AC36="","",VLOOKUP(IF42,ID42:IE45,2,FALSE))</f>
        <v>Franz Zorn</v>
      </c>
      <c r="IH42" s="1146" t="s">
        <v>93</v>
      </c>
      <c r="II42" s="360" t="str">
        <f>IF($AL36="",$AH36,$AL36)</f>
        <v>Dimitry Khomitsevich</v>
      </c>
      <c r="IJ42" s="335"/>
      <c r="IK42" s="335" t="str">
        <f>IF($AP36="","",IF($AL36&lt;&gt;"","",$AP36))</f>
        <v/>
      </c>
      <c r="IL42" s="335">
        <v>0.04</v>
      </c>
      <c r="IM42" s="335">
        <f>IF($AQ36="","",SUM(IL42+$AQ36))</f>
        <v>3.04</v>
      </c>
      <c r="IN42" s="457">
        <f>RANK(IM42,IM42:IM45)</f>
        <v>1</v>
      </c>
      <c r="IO42" s="335" t="str">
        <f>IF(IK42="",II42,II42&amp;" ("&amp;IK42&amp;")")</f>
        <v>Dimitry Khomitsevich</v>
      </c>
      <c r="IP42" s="350">
        <v>1</v>
      </c>
      <c r="IQ42" s="336" t="str">
        <f>IF($AQ$39="","",VLOOKUP($IP42,$IN$42:$IO$45,2,FALSE))</f>
        <v>Dimitry Khomitsevich</v>
      </c>
      <c r="IU42" s="1112"/>
      <c r="IV42" s="701"/>
      <c r="IW42" s="699" t="str">
        <f t="shared" si="71"/>
        <v/>
      </c>
      <c r="IX42" s="700"/>
      <c r="IZ42" s="1112"/>
      <c r="JA42" s="701"/>
      <c r="JB42" s="699" t="str">
        <f t="shared" si="72"/>
        <v/>
      </c>
      <c r="JC42" s="700"/>
      <c r="JE42" s="705"/>
      <c r="JF42" s="705"/>
      <c r="JG42" s="705"/>
      <c r="JH42" s="705"/>
    </row>
    <row r="43" spans="1:268" ht="12.75" customHeight="1" thickBot="1">
      <c r="A43" s="918" t="s">
        <v>404</v>
      </c>
      <c r="B43" s="331">
        <v>16</v>
      </c>
      <c r="C43" s="103">
        <f>AG$9</f>
        <v>5</v>
      </c>
      <c r="D43" s="519" t="str">
        <f>AH$9</f>
        <v>Stefan Svensson</v>
      </c>
      <c r="E43" s="1013"/>
      <c r="F43" s="527" t="str">
        <f t="shared" si="52"/>
        <v/>
      </c>
      <c r="G43" s="1022"/>
      <c r="H43" s="1197" t="str">
        <f t="shared" si="53"/>
        <v/>
      </c>
      <c r="I43" s="1197"/>
      <c r="J43" s="1197"/>
      <c r="K43" s="1197"/>
      <c r="L43" s="511"/>
      <c r="M43" s="149">
        <f>IF(N40="","",IF(N40="y",3,IF(N41="y",2,IF(N42="y",1,IF(N43="y",0,0)))))</f>
        <v>1</v>
      </c>
      <c r="N43" s="708" t="s">
        <v>12</v>
      </c>
      <c r="O43" s="268"/>
      <c r="P43" s="918" t="s">
        <v>416</v>
      </c>
      <c r="Q43" s="331">
        <v>15</v>
      </c>
      <c r="R43" s="103">
        <f>AG$8</f>
        <v>2</v>
      </c>
      <c r="S43" s="519" t="str">
        <f>AH$8</f>
        <v>Dimitry Koltakov</v>
      </c>
      <c r="T43" s="1013"/>
      <c r="U43" s="527" t="str">
        <f t="shared" si="80"/>
        <v/>
      </c>
      <c r="V43" s="1022"/>
      <c r="W43" s="1197" t="str">
        <f t="shared" si="54"/>
        <v/>
      </c>
      <c r="X43" s="1197"/>
      <c r="Y43" s="1197"/>
      <c r="Z43" s="1197"/>
      <c r="AA43" s="511"/>
      <c r="AB43" s="528">
        <f>IF(AC40="","",IF(AC40="y",3,IF(AC41="y",2,IF(AC42="y",1,IF(AC43="y",0,0)))))</f>
        <v>3</v>
      </c>
      <c r="AC43" s="725" t="s">
        <v>46</v>
      </c>
      <c r="AD43" s="269"/>
      <c r="AE43" s="918" t="s">
        <v>422</v>
      </c>
      <c r="AF43" s="103"/>
      <c r="AG43" s="103">
        <f t="shared" si="142"/>
        <v>1</v>
      </c>
      <c r="AH43" s="520" t="str">
        <f>IF(AW40="Y",AV40,IF(AW41="Y",AV41,IF(AW42="Y",AV42,IF(AW43="Y",AV43,""))))</f>
        <v>Daniil Ivanov</v>
      </c>
      <c r="AI43" s="523"/>
      <c r="AJ43" s="523"/>
      <c r="AK43" s="532"/>
      <c r="AL43" s="1213"/>
      <c r="AM43" s="1213"/>
      <c r="AN43" s="1213"/>
      <c r="AO43" s="1213"/>
      <c r="AP43" s="511"/>
      <c r="AQ43" s="489">
        <f>IF(AR40="","",IF(AP43&lt;&gt;"",0,IF(AR40="y",3,IF(AR41="y",2,IF(AR42="y",1,IF(AR43="y",0,0.000000001))))))</f>
        <v>2</v>
      </c>
      <c r="AR43" s="739" t="s">
        <v>46</v>
      </c>
      <c r="AS43" s="505"/>
      <c r="AT43" s="290"/>
      <c r="AU43" s="290"/>
      <c r="AV43" s="740" t="str">
        <f>IF(AQ$39="","",IF(AY43&lt;&gt;"",AZ43,VLOOKUP(4,BL$48:BN$51,3,FALSE)))</f>
        <v>Igor Kononov</v>
      </c>
      <c r="AW43" s="739" t="s">
        <v>46</v>
      </c>
      <c r="AX43" s="268"/>
      <c r="AY43" s="930"/>
      <c r="AZ43" s="1093" t="str">
        <f>IF(AY43="","",VLOOKUP(AY43,$CV$3:$CW$20,2,FALSE))</f>
        <v/>
      </c>
      <c r="BA43" s="1094"/>
      <c r="BB43" s="1094"/>
      <c r="BC43" s="1094"/>
      <c r="BD43" s="1095"/>
      <c r="BI43" s="266">
        <f>IF(AQ43="","",AQ43+1)</f>
        <v>3</v>
      </c>
      <c r="BJ43" s="16">
        <f>VLOOKUP(AH43,$FB$66:$FC$83,2,FALSE)</f>
        <v>17</v>
      </c>
      <c r="BK43" s="290"/>
      <c r="BO43" s="8">
        <f>$M43</f>
        <v>1</v>
      </c>
      <c r="BT43" s="8">
        <f>$AB43</f>
        <v>3</v>
      </c>
      <c r="BY43" s="8">
        <f>$AQ43</f>
        <v>2</v>
      </c>
      <c r="CA43" s="16"/>
      <c r="CB43" s="13">
        <v>4</v>
      </c>
      <c r="CG43" s="13">
        <v>17</v>
      </c>
      <c r="CH43" s="13" t="str">
        <f t="shared" si="117"/>
        <v>Rene Stellingwerf</v>
      </c>
      <c r="CI43" s="14">
        <f t="shared" si="82"/>
        <v>0</v>
      </c>
      <c r="CU43" s="13">
        <f t="shared" si="118"/>
        <v>16</v>
      </c>
      <c r="CV43" s="13">
        <f t="shared" si="157"/>
        <v>17</v>
      </c>
      <c r="CW43" s="13" t="str">
        <f t="shared" si="157"/>
        <v>Simon Reitsma</v>
      </c>
      <c r="CX43" s="13">
        <f t="shared" si="157"/>
        <v>0</v>
      </c>
      <c r="CY43" s="13">
        <f t="shared" si="157"/>
        <v>0</v>
      </c>
      <c r="CZ43" s="13">
        <f t="shared" si="157"/>
        <v>0</v>
      </c>
      <c r="DA43" s="13">
        <f t="shared" si="157"/>
        <v>0</v>
      </c>
      <c r="DC43" s="13">
        <f t="shared" si="119"/>
        <v>0</v>
      </c>
      <c r="DD43" s="243">
        <f t="shared" si="84"/>
        <v>0</v>
      </c>
      <c r="DE43" s="236">
        <f t="shared" si="120"/>
        <v>0</v>
      </c>
      <c r="DF43" s="232">
        <f t="shared" si="85"/>
        <v>0</v>
      </c>
      <c r="DG43" s="234">
        <f t="shared" si="121"/>
        <v>0</v>
      </c>
      <c r="DH43" s="232">
        <f t="shared" si="86"/>
        <v>0</v>
      </c>
      <c r="DI43" s="41">
        <f t="shared" si="122"/>
        <v>0</v>
      </c>
      <c r="DJ43" s="271">
        <f t="shared" si="87"/>
        <v>4</v>
      </c>
      <c r="DK43" s="273">
        <f t="shared" si="88"/>
        <v>4.0000000000000003E-5</v>
      </c>
      <c r="DL43" s="281">
        <f>IF(EZ19=0,0,EZ19/1000000)</f>
        <v>0</v>
      </c>
      <c r="DM43" s="239">
        <f t="shared" si="90"/>
        <v>4.3000000000000001E-7</v>
      </c>
      <c r="DN43" s="285">
        <f t="shared" si="91"/>
        <v>4.0000000000000003E-5</v>
      </c>
      <c r="DO43" s="285">
        <f t="shared" si="92"/>
        <v>4.0000000000000003E-5</v>
      </c>
      <c r="DP43" s="285">
        <f t="shared" si="93"/>
        <v>4.0430000000000004E-5</v>
      </c>
      <c r="DQ43" s="597"/>
      <c r="EZ43" s="13">
        <f t="shared" si="105"/>
        <v>16</v>
      </c>
      <c r="FA43" s="657">
        <f t="shared" si="106"/>
        <v>17</v>
      </c>
      <c r="FB43" s="662" t="str">
        <f t="shared" si="107"/>
        <v>Simon Reitsma</v>
      </c>
      <c r="FC43" s="655">
        <f t="shared" si="126"/>
        <v>0</v>
      </c>
      <c r="FD43" s="655">
        <f t="shared" si="127"/>
        <v>0</v>
      </c>
      <c r="FE43" s="655">
        <f t="shared" si="108"/>
        <v>0</v>
      </c>
      <c r="FF43" s="655">
        <f t="shared" si="128"/>
        <v>0</v>
      </c>
      <c r="FG43" s="658">
        <f t="shared" si="109"/>
        <v>0</v>
      </c>
      <c r="FH43" s="656">
        <f t="shared" si="129"/>
        <v>0</v>
      </c>
      <c r="FI43" s="661">
        <f t="shared" si="130"/>
        <v>5.0000000000000002E-5</v>
      </c>
      <c r="FJ43" s="663">
        <f t="shared" si="131"/>
        <v>5.0000000000000002E-5</v>
      </c>
      <c r="FK43" s="726">
        <f t="shared" si="132"/>
        <v>0</v>
      </c>
      <c r="FL43" s="726">
        <f t="shared" si="133"/>
        <v>0</v>
      </c>
      <c r="FM43" s="726">
        <f t="shared" si="110"/>
        <v>0</v>
      </c>
      <c r="FN43" s="665">
        <f t="shared" si="134"/>
        <v>0</v>
      </c>
      <c r="FO43" s="665">
        <f t="shared" si="151"/>
        <v>5.0000000000000002E-5</v>
      </c>
      <c r="FP43" s="726">
        <f t="shared" si="112"/>
        <v>0</v>
      </c>
      <c r="FQ43" s="316">
        <f t="shared" si="113"/>
        <v>0</v>
      </c>
      <c r="FR43" s="13">
        <f t="shared" si="114"/>
        <v>1</v>
      </c>
      <c r="FS43" s="290">
        <f t="shared" si="135"/>
        <v>0</v>
      </c>
      <c r="FT43" s="1192">
        <f t="shared" si="156"/>
        <v>5.0000000000000002E-5</v>
      </c>
      <c r="FU43" s="1192"/>
      <c r="FV43" s="1192"/>
      <c r="FW43" s="1192"/>
      <c r="FX43" s="737">
        <f t="shared" si="116"/>
        <v>4.3000000000000001E-7</v>
      </c>
      <c r="FY43" s="1114">
        <f t="shared" si="146"/>
        <v>5.0430000000000003E-5</v>
      </c>
      <c r="FZ43" s="1114"/>
      <c r="GA43" s="1114"/>
      <c r="GB43" s="1114"/>
      <c r="GC43" s="1114"/>
      <c r="GD43"/>
      <c r="GE43"/>
      <c r="GF43"/>
      <c r="GG43"/>
      <c r="GH43" s="290"/>
      <c r="GJ43" s="290"/>
      <c r="GW43" s="1145"/>
      <c r="GX43" s="231" t="str">
        <f>IF($N$40="","",IF($IW$43=$GX$3,$IX$43,IF(AND($H$43=$GX$3,$L$43&lt;&gt;""),$L$43,IF(AND($H$43=$GX$3,$L$43=""),$M$43,""))))</f>
        <v/>
      </c>
      <c r="GY43" s="302">
        <v>49</v>
      </c>
      <c r="GZ43" s="303" t="str">
        <f t="shared" si="77"/>
        <v/>
      </c>
      <c r="HA43" s="98" t="str">
        <f t="shared" si="68"/>
        <v/>
      </c>
      <c r="HB43" s="303"/>
      <c r="HC43" s="98" t="str">
        <f t="shared" si="78"/>
        <v/>
      </c>
      <c r="HG43" s="1145"/>
      <c r="HH43" s="231" t="str">
        <f>IF($N$40="","",IF($IW$43=$HH$3,$IX$43,IF(AND($H$43=$HH$3,$L$43&lt;&gt;""),$L$43,IF(AND($H$43=$HH$3,$L$43=""),$M$43,""))))</f>
        <v/>
      </c>
      <c r="HI43" s="302">
        <v>49</v>
      </c>
      <c r="HJ43" s="303" t="str">
        <f t="shared" si="79"/>
        <v/>
      </c>
      <c r="HK43" s="98" t="str">
        <f t="shared" si="69"/>
        <v/>
      </c>
      <c r="HL43" s="303"/>
      <c r="HM43" s="98" t="str">
        <f t="shared" si="70"/>
        <v/>
      </c>
      <c r="HN43" s="1149"/>
      <c r="HO43" s="131" t="str">
        <f>IF($H37="",$D37,$H37)</f>
        <v>Dimitry Koltakov</v>
      </c>
      <c r="HP43" s="327"/>
      <c r="HQ43" s="327" t="str">
        <f>IF($L37="","",$L37)</f>
        <v/>
      </c>
      <c r="HR43" s="327">
        <v>0.03</v>
      </c>
      <c r="HS43" s="458">
        <f>IF($M37="","",SUM(HR43+$M37))</f>
        <v>3.03</v>
      </c>
      <c r="HT43" s="327">
        <f>RANK(HS43,HS42:HS45)</f>
        <v>1</v>
      </c>
      <c r="HU43" s="327" t="str">
        <f>IF(HQ43="",HO43,HO43&amp;" ("&amp;HQ43&amp;")")</f>
        <v>Dimitry Koltakov</v>
      </c>
      <c r="HV43" s="328">
        <v>2</v>
      </c>
      <c r="HW43" s="337" t="str">
        <f>IF(N36="","",VLOOKUP(HV43,HT42:HU45,2,FALSE))</f>
        <v>Igor Kononov</v>
      </c>
      <c r="HX43" s="1149"/>
      <c r="HY43" s="131" t="str">
        <f>IF($W37="",$S37,$W37)</f>
        <v>Franz Zorn</v>
      </c>
      <c r="HZ43" s="327"/>
      <c r="IA43" s="327" t="str">
        <f>IF($AA37="","",$AA37)</f>
        <v/>
      </c>
      <c r="IB43" s="327">
        <v>0.03</v>
      </c>
      <c r="IC43" s="458">
        <f>IF($AB37="","",SUM(IB43+$AB37))</f>
        <v>3.03</v>
      </c>
      <c r="ID43" s="327">
        <f>RANK(IC43,IC42:IC45)</f>
        <v>1</v>
      </c>
      <c r="IE43" s="327" t="str">
        <f>IF(IA43="",HY43,HY43&amp;" ("&amp;IA43&amp;")")</f>
        <v>Franz Zorn</v>
      </c>
      <c r="IF43" s="344">
        <v>2</v>
      </c>
      <c r="IG43" s="337" t="str">
        <f>IF(AC36="","",VLOOKUP(IF43,ID42:IE45,2,FALSE))</f>
        <v>Stefan Svensson</v>
      </c>
      <c r="IH43" s="1147"/>
      <c r="II43" s="361" t="str">
        <f>IF($AL37="",$AH37,$AL37)</f>
        <v>Daniil Ivanov</v>
      </c>
      <c r="IJ43" s="327"/>
      <c r="IK43" s="327" t="str">
        <f>IF($AP37="","",IF($AL37&lt;&gt;"","",$AP37))</f>
        <v/>
      </c>
      <c r="IL43" s="327">
        <v>0.03</v>
      </c>
      <c r="IM43" s="327">
        <f>IF($AQ37="","",SUM(IL43+$AQ37))</f>
        <v>2.0299999999999998</v>
      </c>
      <c r="IN43" s="327">
        <f>RANK(IM43,IM42:IM45)</f>
        <v>2</v>
      </c>
      <c r="IO43" s="327" t="str">
        <f>IF(IK43="",II43,II43&amp;" ("&amp;IK43&amp;")")</f>
        <v>Daniil Ivanov</v>
      </c>
      <c r="IP43" s="344">
        <v>2</v>
      </c>
      <c r="IQ43" s="337" t="str">
        <f>IF($AQ$39="","",VLOOKUP($IP43,$IN$42:$IO$45,2,FALSE))</f>
        <v>Daniil Ivanov</v>
      </c>
      <c r="IU43" s="1113"/>
      <c r="IV43" s="702"/>
      <c r="IW43" s="703" t="str">
        <f t="shared" si="71"/>
        <v/>
      </c>
      <c r="IX43" s="704"/>
      <c r="IZ43" s="1113"/>
      <c r="JA43" s="702"/>
      <c r="JB43" s="703" t="str">
        <f t="shared" si="72"/>
        <v/>
      </c>
      <c r="JC43" s="704"/>
      <c r="JE43" s="705"/>
      <c r="JF43" s="705"/>
      <c r="JG43" s="705"/>
      <c r="JH43" s="705"/>
    </row>
    <row r="44" spans="1:268" ht="12.75" customHeight="1" thickBot="1">
      <c r="M44" s="270"/>
      <c r="N44" s="270"/>
      <c r="AB44" s="324"/>
      <c r="AC44" s="324"/>
      <c r="AR44" s="1070" t="s">
        <v>225</v>
      </c>
      <c r="AS44" s="1071"/>
      <c r="AT44" s="1071"/>
      <c r="AU44" s="1071"/>
      <c r="AV44" s="1071"/>
      <c r="AW44" s="1072"/>
      <c r="AY44" s="1199" t="s">
        <v>102</v>
      </c>
      <c r="AZ44" s="1200"/>
      <c r="BA44" s="1200"/>
      <c r="BB44" s="1200"/>
      <c r="BC44" s="1200"/>
      <c r="BD44" s="1200"/>
      <c r="BE44" s="1200"/>
      <c r="BF44" s="1201"/>
      <c r="CG44" s="13">
        <v>18</v>
      </c>
      <c r="CH44" s="13" t="str">
        <f t="shared" si="117"/>
        <v>Max Niedermaier</v>
      </c>
      <c r="CI44" s="14">
        <f t="shared" si="82"/>
        <v>0</v>
      </c>
      <c r="CU44" s="13">
        <f t="shared" si="118"/>
        <v>18</v>
      </c>
      <c r="CV44" s="13">
        <f t="shared" si="157"/>
        <v>18</v>
      </c>
      <c r="CW44" s="13" t="str">
        <f t="shared" si="157"/>
        <v>Max Niedermaier</v>
      </c>
      <c r="CX44" s="13" t="str">
        <f t="shared" si="157"/>
        <v/>
      </c>
      <c r="CY44" s="13" t="str">
        <f t="shared" si="157"/>
        <v/>
      </c>
      <c r="CZ44" s="13" t="str">
        <f t="shared" si="157"/>
        <v/>
      </c>
      <c r="DA44" s="13" t="str">
        <f t="shared" si="157"/>
        <v/>
      </c>
      <c r="DC44" s="13">
        <f t="shared" si="119"/>
        <v>0</v>
      </c>
      <c r="DD44" s="61">
        <f t="shared" si="84"/>
        <v>0</v>
      </c>
      <c r="DE44" s="237">
        <f t="shared" si="120"/>
        <v>0</v>
      </c>
      <c r="DF44" s="233">
        <f t="shared" si="85"/>
        <v>0</v>
      </c>
      <c r="DG44" s="235">
        <f t="shared" si="121"/>
        <v>0</v>
      </c>
      <c r="DH44" s="233">
        <f t="shared" si="86"/>
        <v>0</v>
      </c>
      <c r="DI44" s="241">
        <f t="shared" si="122"/>
        <v>0</v>
      </c>
      <c r="DJ44" s="272">
        <f t="shared" si="87"/>
        <v>0</v>
      </c>
      <c r="DK44" s="274">
        <f t="shared" si="88"/>
        <v>0</v>
      </c>
      <c r="DL44" s="282">
        <f>IF(EZ20=0,0,EZ20/1000000)</f>
        <v>0</v>
      </c>
      <c r="DM44" s="240">
        <f t="shared" si="90"/>
        <v>4.2E-7</v>
      </c>
      <c r="DN44" s="286">
        <f t="shared" si="91"/>
        <v>0</v>
      </c>
      <c r="DO44" s="286">
        <f t="shared" si="92"/>
        <v>0</v>
      </c>
      <c r="DP44" s="286">
        <f t="shared" si="93"/>
        <v>4.2E-7</v>
      </c>
      <c r="DQ44" s="597"/>
      <c r="EZ44" s="13">
        <f t="shared" si="105"/>
        <v>18</v>
      </c>
      <c r="FA44" s="657">
        <f t="shared" si="106"/>
        <v>18</v>
      </c>
      <c r="FB44" s="662" t="str">
        <f t="shared" si="107"/>
        <v>Max Niedermaier</v>
      </c>
      <c r="FC44" s="655">
        <f t="shared" si="126"/>
        <v>0</v>
      </c>
      <c r="FD44" s="655">
        <f t="shared" si="127"/>
        <v>0</v>
      </c>
      <c r="FE44" s="655">
        <f t="shared" si="108"/>
        <v>0</v>
      </c>
      <c r="FF44" s="655">
        <f t="shared" si="128"/>
        <v>0</v>
      </c>
      <c r="FG44" s="658">
        <f t="shared" si="109"/>
        <v>0</v>
      </c>
      <c r="FH44" s="656">
        <f t="shared" si="129"/>
        <v>0</v>
      </c>
      <c r="FI44" s="661">
        <f t="shared" si="130"/>
        <v>0</v>
      </c>
      <c r="FJ44" s="663">
        <f t="shared" si="131"/>
        <v>0</v>
      </c>
      <c r="FK44" s="726">
        <f t="shared" si="132"/>
        <v>0</v>
      </c>
      <c r="FL44" s="726">
        <f t="shared" si="133"/>
        <v>0</v>
      </c>
      <c r="FM44" s="726">
        <f t="shared" si="110"/>
        <v>0</v>
      </c>
      <c r="FN44" s="665">
        <f t="shared" si="134"/>
        <v>0</v>
      </c>
      <c r="FO44" s="665">
        <f t="shared" si="151"/>
        <v>0</v>
      </c>
      <c r="FP44" s="726">
        <f t="shared" si="112"/>
        <v>0</v>
      </c>
      <c r="FQ44" s="316">
        <f t="shared" si="113"/>
        <v>0</v>
      </c>
      <c r="FR44" s="13">
        <f t="shared" si="114"/>
        <v>2</v>
      </c>
      <c r="FS44" s="290">
        <f t="shared" si="135"/>
        <v>0</v>
      </c>
      <c r="FT44" s="1192">
        <f t="shared" si="156"/>
        <v>0</v>
      </c>
      <c r="FU44" s="1192"/>
      <c r="FV44" s="1192"/>
      <c r="FW44" s="1192"/>
      <c r="FX44" s="737">
        <f t="shared" si="116"/>
        <v>4.2E-7</v>
      </c>
      <c r="FY44" s="1114">
        <f t="shared" si="146"/>
        <v>4.2E-7</v>
      </c>
      <c r="FZ44" s="1114"/>
      <c r="GA44" s="1114"/>
      <c r="GB44" s="1114"/>
      <c r="GC44" s="1114"/>
      <c r="GD44"/>
      <c r="GE44"/>
      <c r="GF44"/>
      <c r="GG44"/>
      <c r="GH44" s="290"/>
      <c r="GJ44" s="290"/>
      <c r="GW44" s="1143">
        <v>9</v>
      </c>
      <c r="GX44" s="229">
        <f>IF($AC$12="","",IF($JB$12=$GX$3,$JC$12,IF(AND($W$12=$GX$3,$AA$12&lt;&gt;""),$AA$12,IF(AND($W$12=$GX$3,$AA$12=""),$AB$12,""))))</f>
        <v>0</v>
      </c>
      <c r="GY44" s="299">
        <v>48</v>
      </c>
      <c r="GZ44" s="300">
        <f t="shared" si="77"/>
        <v>48</v>
      </c>
      <c r="HA44" s="93">
        <f t="shared" ref="HA44:HA75" si="165">IF(GX44="","",RANK(GZ44,GZ$12:GZ$91))</f>
        <v>3</v>
      </c>
      <c r="HB44" s="300"/>
      <c r="HC44" s="93">
        <f t="shared" si="78"/>
        <v>0</v>
      </c>
      <c r="HG44" s="1143">
        <v>9</v>
      </c>
      <c r="HH44" s="229" t="str">
        <f>IF($AC$12="","",IF($JB$12=$HH$3,$JC$12,IF(AND($W$12=$HH$3,$AA$12&lt;&gt;""),$AA$12,IF(AND($W$12=$HH$3,$AA$12=""),$AB$12,""))))</f>
        <v/>
      </c>
      <c r="HI44" s="299">
        <v>48</v>
      </c>
      <c r="HJ44" s="300" t="str">
        <f t="shared" si="79"/>
        <v/>
      </c>
      <c r="HK44" s="93" t="str">
        <f t="shared" ref="HK44:HK75" si="166">IF(HH44="","",RANK(HJ44,HJ$12:HJ$91))</f>
        <v/>
      </c>
      <c r="HL44" s="300"/>
      <c r="HM44" s="93" t="str">
        <f t="shared" si="70"/>
        <v/>
      </c>
      <c r="HN44" s="1149"/>
      <c r="HO44" s="131" t="str">
        <f>IF($H38="",$D38,$H38)</f>
        <v>Igor Kononov</v>
      </c>
      <c r="HP44" s="327"/>
      <c r="HQ44" s="327" t="str">
        <f>IF($L38="","",$L38)</f>
        <v/>
      </c>
      <c r="HR44" s="327">
        <v>0.02</v>
      </c>
      <c r="HS44" s="458">
        <f>IF($M38="","",SUM(HR44+$M38))</f>
        <v>2.02</v>
      </c>
      <c r="HT44" s="327">
        <f>RANK(HS44,HS42:HS45)</f>
        <v>2</v>
      </c>
      <c r="HU44" s="327" t="str">
        <f>IF(HQ44="",HO44,HO44&amp;" ("&amp;HQ44&amp;")")</f>
        <v>Igor Kononov</v>
      </c>
      <c r="HV44" s="328">
        <v>3</v>
      </c>
      <c r="HW44" s="337" t="str">
        <f>IF(N36="","",VLOOKUP(HV44,HT42:HU45,2,FALSE))</f>
        <v>Franz Zorn</v>
      </c>
      <c r="HX44" s="1149"/>
      <c r="HY44" s="131" t="str">
        <f>IF($W38="",$S38,$W38)</f>
        <v>Hans Weber</v>
      </c>
      <c r="HZ44" s="327"/>
      <c r="IA44" s="327" t="str">
        <f>IF($AA38="","",$AA38)</f>
        <v/>
      </c>
      <c r="IB44" s="327">
        <v>0.02</v>
      </c>
      <c r="IC44" s="458">
        <f>IF($AB38="","",SUM(IB44+$AB38))</f>
        <v>1.02</v>
      </c>
      <c r="ID44" s="327">
        <f>RANK(IC44,IC42:IC45)</f>
        <v>3</v>
      </c>
      <c r="IE44" s="327" t="str">
        <f>IF(IA44="",HY44,HY44&amp;" ("&amp;IA44&amp;")")</f>
        <v>Hans Weber</v>
      </c>
      <c r="IF44" s="344">
        <v>3</v>
      </c>
      <c r="IG44" s="337" t="str">
        <f>IF(AC36="","",VLOOKUP(IF44,ID42:IE45,2,FALSE))</f>
        <v>Hans Weber</v>
      </c>
      <c r="IH44" s="1147"/>
      <c r="II44" s="361" t="str">
        <f>IF($AL38="",$AH38,$AL38)</f>
        <v>Vitaly Khomitsevich</v>
      </c>
      <c r="IJ44" s="327"/>
      <c r="IK44" s="327" t="str">
        <f>IF($AP38="","",IF($AL38&lt;&gt;"","",$AP38))</f>
        <v/>
      </c>
      <c r="IL44" s="327">
        <v>0.02</v>
      </c>
      <c r="IM44" s="327">
        <f>IF($AQ38="","",SUM(IL44+$AQ38))</f>
        <v>1.02</v>
      </c>
      <c r="IN44" s="327">
        <f>RANK(IM44,IM42:IM45)</f>
        <v>3</v>
      </c>
      <c r="IO44" s="327" t="str">
        <f>IF(IK44="",II44,II44&amp;" ("&amp;IK44&amp;")")</f>
        <v>Vitaly Khomitsevich</v>
      </c>
      <c r="IP44" s="344">
        <v>3</v>
      </c>
      <c r="IQ44" s="337" t="str">
        <f>IF($AQ$39="","",VLOOKUP($IP44,$IN$42:$IO$45,2,FALSE))</f>
        <v>Vitaly Khomitsevich</v>
      </c>
    </row>
    <row r="45" spans="1:268" ht="12.75" customHeight="1" thickBot="1">
      <c r="D45" s="290"/>
      <c r="E45" s="290"/>
      <c r="F45" s="290"/>
      <c r="G45" s="290"/>
      <c r="AR45" s="1073"/>
      <c r="AS45" s="1074"/>
      <c r="AT45" s="1074"/>
      <c r="AU45" s="1074"/>
      <c r="AV45" s="1074"/>
      <c r="AW45" s="1075"/>
      <c r="AY45" s="1202"/>
      <c r="AZ45" s="1203"/>
      <c r="BA45" s="1203"/>
      <c r="BB45" s="1203"/>
      <c r="BC45" s="1203"/>
      <c r="BD45" s="1203"/>
      <c r="BE45" s="1203"/>
      <c r="BF45" s="1204"/>
      <c r="CV45"/>
      <c r="FL45" s="316"/>
      <c r="FM45" s="316"/>
      <c r="FN45" s="290"/>
      <c r="FO45" s="290"/>
      <c r="FP45" s="290"/>
      <c r="FQ45" s="290"/>
      <c r="FR45"/>
      <c r="FS45"/>
      <c r="FT45"/>
      <c r="FU45"/>
      <c r="FV45"/>
      <c r="FW45"/>
      <c r="FX45"/>
      <c r="FY45"/>
      <c r="FZ45"/>
      <c r="GA45"/>
      <c r="GB45"/>
      <c r="GC45"/>
      <c r="GD45"/>
      <c r="GE45"/>
      <c r="GF45"/>
      <c r="GG45"/>
      <c r="GH45" s="290"/>
      <c r="GJ45" s="290"/>
      <c r="GW45" s="1144"/>
      <c r="GX45" s="230" t="str">
        <f>IF($AC$12="","",IF($JB$13=$GX$3,$JC$13,IF(AND($W$13=$GX$3,$AA$13&lt;&gt;""),$AA$13,IF(AND($W$13=$GX$3,$AA$13=""),$AB$13,""))))</f>
        <v/>
      </c>
      <c r="GY45" s="301">
        <v>47</v>
      </c>
      <c r="GZ45" s="5" t="str">
        <f t="shared" si="77"/>
        <v/>
      </c>
      <c r="HA45" s="95" t="str">
        <f t="shared" si="165"/>
        <v/>
      </c>
      <c r="HB45" s="5"/>
      <c r="HC45" s="95" t="str">
        <f t="shared" si="78"/>
        <v/>
      </c>
      <c r="HG45" s="1144"/>
      <c r="HH45" s="230" t="str">
        <f>IF($AC$12="","",IF($JB$13=$HH$3,$JC$13,IF(AND($W$13=$HH$3,$AA$13&lt;&gt;""),$AA$13,IF(AND($W$13=$HH$3,$AA$13=""),$AB$13,""))))</f>
        <v/>
      </c>
      <c r="HI45" s="301">
        <v>47</v>
      </c>
      <c r="HJ45" s="5" t="str">
        <f t="shared" si="79"/>
        <v/>
      </c>
      <c r="HK45" s="95" t="str">
        <f t="shared" si="166"/>
        <v/>
      </c>
      <c r="HL45" s="5"/>
      <c r="HM45" s="95" t="str">
        <f t="shared" si="70"/>
        <v/>
      </c>
      <c r="HN45" s="1150">
        <v>7</v>
      </c>
      <c r="HO45" s="131" t="str">
        <f>IF($H39="",$D39,$H39)</f>
        <v>Franz Zorn</v>
      </c>
      <c r="HP45" s="327"/>
      <c r="HQ45" s="327" t="str">
        <f>IF($L39="","",$L39)</f>
        <v/>
      </c>
      <c r="HR45" s="327">
        <v>0.01</v>
      </c>
      <c r="HS45" s="458">
        <f>IF($M39="","",SUM(HR45+$M39))</f>
        <v>1.01</v>
      </c>
      <c r="HT45" s="327">
        <f>RANK(HS45,HS42:HS45)</f>
        <v>3</v>
      </c>
      <c r="HU45" s="327" t="str">
        <f>IF(HQ45="",HO45,HO45&amp;" ("&amp;HQ45&amp;")")</f>
        <v>Franz Zorn</v>
      </c>
      <c r="HV45" s="328">
        <v>4</v>
      </c>
      <c r="HW45" s="337" t="str">
        <f>IF(N36="","",VLOOKUP(HV45,HT42:HU45,2,FALSE))</f>
        <v>Harald Simon</v>
      </c>
      <c r="HX45" s="1150">
        <v>15</v>
      </c>
      <c r="HY45" s="131" t="str">
        <f>IF($W39="",$S39,$W39)</f>
        <v>Antonin Klatovsky</v>
      </c>
      <c r="HZ45" s="327"/>
      <c r="IA45" s="327" t="str">
        <f>IF($AA39="","",$AA39)</f>
        <v/>
      </c>
      <c r="IB45" s="327">
        <v>0.01</v>
      </c>
      <c r="IC45" s="458">
        <f>IF($AB39="","",SUM(IB45+$AB39))</f>
        <v>0.01</v>
      </c>
      <c r="ID45" s="327">
        <f>RANK(IC45,IC42:IC45)</f>
        <v>4</v>
      </c>
      <c r="IE45" s="327" t="str">
        <f>IF(IA45="",HY45,HY45&amp;" ("&amp;IA45&amp;")")</f>
        <v>Antonin Klatovsky</v>
      </c>
      <c r="IF45" s="344">
        <v>4</v>
      </c>
      <c r="IG45" s="337" t="str">
        <f>IF(AC36="","",VLOOKUP(IF45,ID42:IE45,2,FALSE))</f>
        <v>Antonin Klatovsky</v>
      </c>
      <c r="IH45" s="1147">
        <v>7</v>
      </c>
      <c r="II45" s="362" t="str">
        <f>IF($AL39="",$AH39,$AL39)</f>
        <v>Stefan Svensson</v>
      </c>
      <c r="IJ45" s="338"/>
      <c r="IK45" s="338" t="str">
        <f>IF($AP39="","",IF($AL39&lt;&gt;"","",$AP39))</f>
        <v/>
      </c>
      <c r="IL45" s="327">
        <v>0.01</v>
      </c>
      <c r="IM45" s="338">
        <f>IF($AQ39="","",SUM(IL45+$AQ39))</f>
        <v>0.01</v>
      </c>
      <c r="IN45" s="327">
        <f>RANK(IM45,IM42:IM45)</f>
        <v>4</v>
      </c>
      <c r="IO45" s="338" t="str">
        <f>IF(IK45="",II45,II45&amp;" ("&amp;IK45&amp;")")</f>
        <v>Stefan Svensson</v>
      </c>
      <c r="IP45" s="351">
        <v>4</v>
      </c>
      <c r="IQ45" s="339" t="str">
        <f>IF($AQ$39="","",VLOOKUP($IP45,$IN$42:$IO$45,2,FALSE))</f>
        <v>Stefan Svensson</v>
      </c>
    </row>
    <row r="46" spans="1:268" ht="12.75" customHeight="1" thickBot="1">
      <c r="D46" s="290"/>
      <c r="E46" s="290"/>
      <c r="F46" s="290"/>
      <c r="G46" s="290"/>
      <c r="AR46" s="1073"/>
      <c r="AS46" s="1074"/>
      <c r="AT46" s="1074"/>
      <c r="AU46" s="1074"/>
      <c r="AV46" s="1074"/>
      <c r="AW46" s="1075"/>
      <c r="AY46" s="1202"/>
      <c r="AZ46" s="1203"/>
      <c r="BA46" s="1203"/>
      <c r="BB46" s="1203"/>
      <c r="BC46" s="1203"/>
      <c r="BD46" s="1203"/>
      <c r="BE46" s="1203"/>
      <c r="BF46" s="1204"/>
      <c r="CG46" s="1187" t="s">
        <v>157</v>
      </c>
      <c r="CH46" s="1188"/>
      <c r="CI46" s="1189"/>
      <c r="CU46" s="1108" t="s">
        <v>214</v>
      </c>
      <c r="CV46" s="1109"/>
      <c r="CW46" s="1109"/>
      <c r="CX46" s="714"/>
      <c r="CY46" s="714"/>
      <c r="CZ46" s="714"/>
      <c r="DA46" s="714"/>
      <c r="DB46" s="714"/>
      <c r="DC46" s="714"/>
      <c r="DD46" s="1109" t="s">
        <v>14</v>
      </c>
      <c r="DE46" s="1109"/>
      <c r="DF46" s="1109" t="s">
        <v>15</v>
      </c>
      <c r="DG46" s="1109"/>
      <c r="DH46" s="1109" t="s">
        <v>17</v>
      </c>
      <c r="DI46" s="1109"/>
      <c r="DJ46" s="714"/>
      <c r="DK46" s="714"/>
      <c r="DL46" s="714" t="s">
        <v>215</v>
      </c>
      <c r="DM46" s="714"/>
      <c r="DN46" s="714"/>
      <c r="DO46" s="714"/>
      <c r="DP46" s="715"/>
      <c r="FL46" s="716"/>
      <c r="FM46" s="716"/>
      <c r="FN46"/>
      <c r="FO46"/>
      <c r="FP46"/>
      <c r="FQ46"/>
      <c r="FR46"/>
      <c r="FS46"/>
      <c r="FT46" s="1241" t="s">
        <v>211</v>
      </c>
      <c r="FU46" s="1242"/>
      <c r="FV46" s="1242"/>
      <c r="FW46" s="1242"/>
      <c r="FX46" s="1242"/>
      <c r="FY46" s="1242"/>
      <c r="FZ46" s="1242"/>
      <c r="GA46"/>
      <c r="GB46"/>
      <c r="GC46"/>
      <c r="GD46"/>
      <c r="GE46"/>
      <c r="GF46"/>
      <c r="GG46"/>
      <c r="GH46" s="290"/>
      <c r="GJ46" s="290"/>
      <c r="GW46" s="1144"/>
      <c r="GX46" s="230" t="str">
        <f>IF($AC$12="","",IF($JB$14=$GX$3,$JC$14,IF(AND($W$14=$GX$3,$AA$14&lt;&gt;""),$AA$14,IF(AND($W$14=$GX$3,$AA$14=""),$AB$14,""))))</f>
        <v/>
      </c>
      <c r="GY46" s="301">
        <v>46</v>
      </c>
      <c r="GZ46" s="5" t="str">
        <f t="shared" si="77"/>
        <v/>
      </c>
      <c r="HA46" s="95" t="str">
        <f t="shared" si="165"/>
        <v/>
      </c>
      <c r="HB46" s="5"/>
      <c r="HC46" s="95" t="str">
        <f t="shared" si="78"/>
        <v/>
      </c>
      <c r="HG46" s="1144"/>
      <c r="HH46" s="230" t="str">
        <f>IF($AC$12="","",IF($JB$14=$HH$3,$JC$14,IF(AND($W$14=$HH$3,$AA$14&lt;&gt;""),$AA$14,IF(AND($W$14=$HH$3,$AA$14=""),$AB$14,""))))</f>
        <v/>
      </c>
      <c r="HI46" s="301">
        <v>46</v>
      </c>
      <c r="HJ46" s="5" t="str">
        <f t="shared" si="79"/>
        <v/>
      </c>
      <c r="HK46" s="95" t="str">
        <f t="shared" si="166"/>
        <v/>
      </c>
      <c r="HL46" s="5"/>
      <c r="HM46" s="95" t="str">
        <f t="shared" si="70"/>
        <v/>
      </c>
      <c r="HN46" s="348" t="str">
        <f>IF($A39="","",$A39)</f>
        <v>58,63</v>
      </c>
      <c r="HO46" s="132" t="str">
        <f>IF($H36&lt;&gt;"",$D36,IF($H37&lt;&gt;"",$D37,IF($H38&lt;&gt;"",$D38,IF($H39&lt;&gt;"",$D39,""))))</f>
        <v/>
      </c>
      <c r="HP46" s="338" t="str">
        <f>IF(HO46="","",VLOOKUP($HO46,$CW$3:$DB$18,3,FALSE))</f>
        <v/>
      </c>
      <c r="HQ46" s="338"/>
      <c r="HR46" s="338"/>
      <c r="HS46" s="338">
        <v>5</v>
      </c>
      <c r="HT46" s="338"/>
      <c r="HU46" s="132" t="str">
        <f>IF(HO46="","",HO46&amp;" ("&amp;HP46&amp;")")</f>
        <v/>
      </c>
      <c r="HV46" s="349">
        <v>5</v>
      </c>
      <c r="HW46" s="339" t="str">
        <f>IF(HU46="","",HU46)</f>
        <v/>
      </c>
      <c r="HX46" s="348" t="str">
        <f>IF($P39="","",$P39)</f>
        <v>62,25</v>
      </c>
      <c r="HY46" s="132" t="str">
        <f>IF($W36&lt;&gt;"",$S36,IF($W37&lt;&gt;"",$S37,IF($W38&lt;&gt;"",$S38,IF($W39&lt;&gt;"",$S39,""))))</f>
        <v/>
      </c>
      <c r="HZ46" s="338" t="str">
        <f>IF(HY46="","",VLOOKUP($HY46,$CW$3:$DB$18,5,FALSE))</f>
        <v/>
      </c>
      <c r="IA46" s="338"/>
      <c r="IB46" s="338"/>
      <c r="IC46" s="338">
        <v>5</v>
      </c>
      <c r="ID46" s="338"/>
      <c r="IE46" s="132" t="str">
        <f>IF(HY46="","",HY46&amp;" ("&amp;HZ46&amp;")")</f>
        <v/>
      </c>
      <c r="IF46" s="351">
        <v>5</v>
      </c>
      <c r="IG46" s="339" t="str">
        <f>IF(IE46="","",IE46)</f>
        <v/>
      </c>
      <c r="IH46" s="363" t="str">
        <f>IF($AE39="","",$AE39)</f>
        <v>62,81</v>
      </c>
      <c r="II46"/>
      <c r="IJ46"/>
      <c r="IK46"/>
      <c r="IL46"/>
      <c r="IM46"/>
      <c r="IN46"/>
      <c r="IO46"/>
      <c r="IP46"/>
      <c r="IQ46"/>
    </row>
    <row r="47" spans="1:268" ht="12.75" customHeight="1" thickBot="1">
      <c r="D47" s="290"/>
      <c r="E47" s="290"/>
      <c r="F47" s="290"/>
      <c r="G47" s="290"/>
      <c r="AR47" s="1076"/>
      <c r="AS47" s="1077"/>
      <c r="AT47" s="1077"/>
      <c r="AU47" s="1077"/>
      <c r="AV47" s="1077"/>
      <c r="AW47" s="1078"/>
      <c r="AY47" s="1205"/>
      <c r="AZ47" s="1206"/>
      <c r="BA47" s="1206"/>
      <c r="BB47" s="1206"/>
      <c r="BC47" s="1206"/>
      <c r="BD47" s="1206"/>
      <c r="BE47" s="1206"/>
      <c r="BF47" s="1207"/>
      <c r="CG47" s="16">
        <v>1</v>
      </c>
      <c r="CH47" s="14" t="str">
        <f t="shared" ref="CH47:CH64" si="167">VLOOKUP($CG47,$EZ$66:$FC$83,3,FALSE)</f>
        <v>Dimitry Koltakov</v>
      </c>
      <c r="CI47" s="496">
        <f t="shared" ref="CI47:CI64" si="168">VLOOKUP($CG47,$EZ$66:$FC$83,4,FALSE)</f>
        <v>21</v>
      </c>
      <c r="CU47" s="13">
        <f>RANK(DP47,DP$47:DP$64)</f>
        <v>14</v>
      </c>
      <c r="CV47" s="13">
        <f t="shared" ref="CV47:CZ60" si="169">CV27</f>
        <v>9</v>
      </c>
      <c r="CW47" s="13" t="str">
        <f t="shared" si="169"/>
        <v>Per-Anders Lindstrom</v>
      </c>
      <c r="CX47" s="13">
        <f t="shared" si="169"/>
        <v>0</v>
      </c>
      <c r="CY47" s="13">
        <f t="shared" si="169"/>
        <v>0</v>
      </c>
      <c r="CZ47" s="13">
        <f t="shared" si="169"/>
        <v>1</v>
      </c>
      <c r="DC47" s="13">
        <f>SUM(CX47:DB47)</f>
        <v>1</v>
      </c>
      <c r="DD47" s="243">
        <f t="shared" ref="DD47:DD64" si="170">COUNTIF(CX47:DB47,3)</f>
        <v>0</v>
      </c>
      <c r="DE47" s="236">
        <f>IF(DD47=0,0,DD47/100)</f>
        <v>0</v>
      </c>
      <c r="DF47" s="232">
        <f t="shared" ref="DF47:DF64" si="171">COUNTIF(CX47:DB47,2)</f>
        <v>0</v>
      </c>
      <c r="DG47" s="234">
        <f>IF(DF47=0,0,DF47/1000)</f>
        <v>0</v>
      </c>
      <c r="DH47" s="232">
        <f t="shared" ref="DH47:DH64" si="172">COUNTIF(CX47:DB47,1)</f>
        <v>1</v>
      </c>
      <c r="DI47" s="41">
        <f>IF(DH47=0,0,DH47/10000)</f>
        <v>1E-4</v>
      </c>
      <c r="DJ47" s="271">
        <f t="shared" ref="DJ47:DJ64" si="173">COUNTIF(CX47:DB47,0)</f>
        <v>2</v>
      </c>
      <c r="DK47" s="273">
        <f t="shared" ref="DK47:DK64" si="174">IF(DJ47=0,0,SUM(DJ47-GQ47)/100000)</f>
        <v>2.0000000000000002E-5</v>
      </c>
      <c r="DL47" s="281">
        <f>IF(EY3=0,0,EY3/1000000)</f>
        <v>9.9999999999999995E-7</v>
      </c>
      <c r="DM47" s="644">
        <f>DM3</f>
        <v>5.0999999999999999E-7</v>
      </c>
      <c r="DN47" s="495">
        <f t="shared" ref="DN47:DN64" si="175">SUM(DC47+DE47+DG47+DI47+DK47)</f>
        <v>1.0001199999999999</v>
      </c>
      <c r="DO47" s="495">
        <f t="shared" ref="DO47:DO64" si="176">DN47+DL47</f>
        <v>1.0001209999999998</v>
      </c>
      <c r="DP47" s="495">
        <f t="shared" ref="DP47:DP64" si="177">SUM(DO47+DM47)</f>
        <v>1.0001215099999998</v>
      </c>
      <c r="FL47" s="716"/>
      <c r="FM47" s="716"/>
      <c r="FN47"/>
      <c r="FO47"/>
      <c r="FP47"/>
      <c r="FQ47"/>
      <c r="FR47"/>
      <c r="FS47"/>
      <c r="FT47" s="1242"/>
      <c r="FU47" s="1242"/>
      <c r="FV47" s="1242"/>
      <c r="FW47" s="1242"/>
      <c r="FX47" s="1242"/>
      <c r="FY47" s="1242"/>
      <c r="FZ47" s="1242"/>
      <c r="GA47"/>
      <c r="GB47"/>
      <c r="GC47"/>
      <c r="GD47"/>
      <c r="GE47"/>
      <c r="GF47"/>
      <c r="GG47"/>
      <c r="GW47" s="1145"/>
      <c r="GX47" s="231" t="str">
        <f>IF($AC$12="","",IF($JB$15=$GX$3,$JC$15,IF(AND($W$15=$GX$3,$AA$15&lt;&gt;""),$AA$15,IF(AND($W$15=$GX$3,$AA$15=""),$AB$15,""))))</f>
        <v/>
      </c>
      <c r="GY47" s="302">
        <v>45</v>
      </c>
      <c r="GZ47" s="303" t="str">
        <f t="shared" si="77"/>
        <v/>
      </c>
      <c r="HA47" s="98" t="str">
        <f t="shared" si="165"/>
        <v/>
      </c>
      <c r="HB47" s="303"/>
      <c r="HC47" s="98" t="str">
        <f t="shared" si="78"/>
        <v/>
      </c>
      <c r="HG47" s="1145"/>
      <c r="HH47" s="231" t="str">
        <f>IF($AC$12="","",IF($JB$15=$HH$3,$JC$15,IF(AND($W$15=$HH$3,$AA$15&lt;&gt;""),$AA$15,IF(AND($W$15=$HH$3,$AA$15=""),$AB$15,""))))</f>
        <v/>
      </c>
      <c r="HI47" s="302">
        <v>45</v>
      </c>
      <c r="HJ47" s="303" t="str">
        <f t="shared" si="79"/>
        <v/>
      </c>
      <c r="HK47" s="98" t="str">
        <f t="shared" si="166"/>
        <v/>
      </c>
      <c r="HL47" s="303"/>
      <c r="HM47" s="98" t="str">
        <f t="shared" si="70"/>
        <v/>
      </c>
      <c r="HN47" s="1149">
        <v>8</v>
      </c>
      <c r="HO47" s="145" t="str">
        <f>IF($H40="",$D40,$H40)</f>
        <v>Jan Klatovsky</v>
      </c>
      <c r="HP47" s="352"/>
      <c r="HQ47" s="352" t="str">
        <f>IF($L40="","",$L40)</f>
        <v/>
      </c>
      <c r="HR47" s="335">
        <v>0.04</v>
      </c>
      <c r="HS47" s="456">
        <f>IF($M40="","",SUM(HR47+$M40))</f>
        <v>0.04</v>
      </c>
      <c r="HT47" s="457">
        <f>RANK(HS47,HS47:HS50)</f>
        <v>4</v>
      </c>
      <c r="HU47" s="352" t="str">
        <f>IF(HQ47="",HO47,HO47&amp;" ("&amp;HQ47&amp;")")</f>
        <v>Jan Klatovsky</v>
      </c>
      <c r="HV47" s="353">
        <v>1</v>
      </c>
      <c r="HW47" s="336" t="str">
        <f>IF(N40="","",VLOOKUP(HV47,HT47:HU50,2,FALSE))</f>
        <v>Vitaly Khomitsevich</v>
      </c>
      <c r="HX47" s="1149">
        <v>16</v>
      </c>
      <c r="HY47" s="145" t="str">
        <f>IF($W40="",$S40,$W40)</f>
        <v>Daniil Ivanov</v>
      </c>
      <c r="HZ47" s="352"/>
      <c r="IA47" s="352" t="str">
        <f>IF($AA40="","",$AA40)</f>
        <v/>
      </c>
      <c r="IB47" s="335">
        <v>0.04</v>
      </c>
      <c r="IC47" s="456">
        <f>IF($AB40="","",SUM(IB47+$AB40))</f>
        <v>2.04</v>
      </c>
      <c r="ID47" s="457">
        <f>RANK(IC47,IC47:IC50)</f>
        <v>2</v>
      </c>
      <c r="IE47" s="352" t="str">
        <f>IF(IA47="",HY47,HY47&amp;" ("&amp;IA47&amp;")")</f>
        <v>Daniil Ivanov</v>
      </c>
      <c r="IF47" s="354">
        <v>1</v>
      </c>
      <c r="IG47" s="336" t="str">
        <f>IF(AC40="","",VLOOKUP(IF47,ID47:IE50,2,FALSE))</f>
        <v>Dimitry Koltakov</v>
      </c>
      <c r="IH47" s="1146" t="s">
        <v>22</v>
      </c>
      <c r="II47" s="360" t="str">
        <f>IF($AL40="",$AH40,$AL40)</f>
        <v>Dimitry Koltakov</v>
      </c>
      <c r="IJ47" s="335">
        <f>IF($AR$40="R",3,IF($AR$41="R",2,IF($AR$42="R",1,0)))</f>
        <v>3</v>
      </c>
      <c r="IK47" s="335" t="str">
        <f>IF($AP40="","",IF($AL40&lt;&gt;"","",$AP40))</f>
        <v/>
      </c>
      <c r="IL47" s="335">
        <v>0.04</v>
      </c>
      <c r="IM47" s="335">
        <f>IF($AQ40="","",SUM(IL47+$AQ40))</f>
        <v>3.04</v>
      </c>
      <c r="IN47" s="457">
        <f>RANK(IJ47,IJ47:IJ50)</f>
        <v>1</v>
      </c>
      <c r="IO47" s="335" t="str">
        <f>IF(IK47="",II47,II47&amp;" ("&amp;IK47&amp;")")</f>
        <v>Dimitry Koltakov</v>
      </c>
      <c r="IP47" s="350">
        <v>1</v>
      </c>
      <c r="IQ47" s="336" t="str">
        <f>IF($AR$40="","",VLOOKUP($IP47,IN$47:IO$51,2,FALSE))</f>
        <v>Dimitry Koltakov</v>
      </c>
    </row>
    <row r="48" spans="1:268" ht="12.75" customHeight="1">
      <c r="D48" s="290"/>
      <c r="E48" s="290"/>
      <c r="F48" s="290"/>
      <c r="G48" s="290"/>
      <c r="BK48" s="439"/>
      <c r="BL48" s="972">
        <f>RANK(BX48,BX$48:BX$51)+COUNTIF(BX$48:BX51,BX48)-1</f>
        <v>1</v>
      </c>
      <c r="BM48" s="440">
        <v>1</v>
      </c>
      <c r="BN48" s="441" t="str">
        <f>IF(AQ$32=3,AH$32,IF(AQ$33=3,AH$33,IF(AQ$34=3,AH$34,IF(AQ$35=3,AH$35,""))))</f>
        <v>Dimitry Koltakov</v>
      </c>
      <c r="BO48" s="440"/>
      <c r="BP48" s="440"/>
      <c r="BQ48" s="440"/>
      <c r="BR48" s="442"/>
      <c r="BS48" s="969">
        <f>IF(BN48="","",VLOOKUP(BN48,$AV$12:$BB$27,7,FALSE))</f>
        <v>15</v>
      </c>
      <c r="BT48" s="8">
        <v>3</v>
      </c>
      <c r="BU48" s="8">
        <f>SUM(BS48:BT48)</f>
        <v>18</v>
      </c>
      <c r="BV48" s="8">
        <f>COUNTIF(BU$48:BU$51,BU48)</f>
        <v>1</v>
      </c>
      <c r="BW48" s="8">
        <f>IF(BV48=1,0,VLOOKUP(BN48,$AV$12:$BI$29,14,FALSE))</f>
        <v>0</v>
      </c>
      <c r="BX48" s="971">
        <f>SUM(BU48+SUM(BW48/1000))</f>
        <v>18</v>
      </c>
      <c r="CG48" s="16">
        <v>2</v>
      </c>
      <c r="CH48" s="14" t="str">
        <f t="shared" si="167"/>
        <v>Daniil Ivanov</v>
      </c>
      <c r="CI48" s="496">
        <f t="shared" si="168"/>
        <v>17</v>
      </c>
      <c r="CU48" s="13">
        <f t="shared" ref="CU48:CU64" si="178">RANK(DP48,DP$47:DP$64)</f>
        <v>3</v>
      </c>
      <c r="CV48" s="13">
        <f t="shared" si="169"/>
        <v>3</v>
      </c>
      <c r="CW48" s="13" t="str">
        <f t="shared" si="169"/>
        <v>Dimitry Khomitsevich</v>
      </c>
      <c r="CX48" s="13">
        <f t="shared" si="169"/>
        <v>3</v>
      </c>
      <c r="CY48" s="13">
        <f t="shared" si="169"/>
        <v>3</v>
      </c>
      <c r="CZ48" s="13">
        <f t="shared" si="169"/>
        <v>2</v>
      </c>
      <c r="DC48" s="13">
        <f t="shared" ref="DC48:DC64" si="179">SUM(CX48:DB48)</f>
        <v>8</v>
      </c>
      <c r="DD48" s="243">
        <f t="shared" si="170"/>
        <v>2</v>
      </c>
      <c r="DE48" s="236">
        <f t="shared" ref="DE48:DE64" si="180">IF(DD48=0,0,DD48/100)</f>
        <v>0.02</v>
      </c>
      <c r="DF48" s="232">
        <f t="shared" si="171"/>
        <v>1</v>
      </c>
      <c r="DG48" s="234">
        <f t="shared" ref="DG48:DG64" si="181">IF(DF48=0,0,DF48/1000)</f>
        <v>1E-3</v>
      </c>
      <c r="DH48" s="232">
        <f t="shared" si="172"/>
        <v>0</v>
      </c>
      <c r="DI48" s="41">
        <f t="shared" ref="DI48:DI64" si="182">IF(DH48=0,0,DH48/10000)</f>
        <v>0</v>
      </c>
      <c r="DJ48" s="271">
        <f t="shared" si="173"/>
        <v>0</v>
      </c>
      <c r="DK48" s="273">
        <f t="shared" si="174"/>
        <v>0</v>
      </c>
      <c r="DL48" s="281">
        <f t="shared" ref="DL48:DL64" si="183">IF(EY4=0,0,EY4/1000000)</f>
        <v>0</v>
      </c>
      <c r="DM48" s="643">
        <f t="shared" ref="DM48:DM64" si="184">DM4</f>
        <v>5.7000000000000005E-7</v>
      </c>
      <c r="DN48" s="284">
        <f t="shared" si="175"/>
        <v>8.020999999999999</v>
      </c>
      <c r="DO48" s="284">
        <f t="shared" si="176"/>
        <v>8.020999999999999</v>
      </c>
      <c r="DP48" s="284">
        <f t="shared" si="177"/>
        <v>8.0210005699999982</v>
      </c>
      <c r="FL48" s="716"/>
      <c r="FM48" s="716"/>
      <c r="FN48"/>
      <c r="FO48"/>
      <c r="FP48"/>
      <c r="FQ48"/>
      <c r="FR48"/>
      <c r="FS48"/>
      <c r="FT48"/>
      <c r="FU48"/>
      <c r="FV48"/>
      <c r="FW48"/>
      <c r="FX48"/>
      <c r="FY48"/>
      <c r="FZ48"/>
      <c r="GA48"/>
      <c r="GB48"/>
      <c r="GC48"/>
      <c r="GD48"/>
      <c r="GE48"/>
      <c r="GF48"/>
      <c r="GG48"/>
      <c r="GW48" s="1143">
        <v>10</v>
      </c>
      <c r="GX48" s="229" t="str">
        <f>IF($AC$16="","",IF($JB$16=$GX$3,$JC$16,IF(AND($W$16=$GX$3,$AA$16&lt;&gt;""),$AA$16,IF(AND($W$16=$GX$3,$AA$16=""),$AB$16,""))))</f>
        <v/>
      </c>
      <c r="GY48" s="299">
        <v>44</v>
      </c>
      <c r="GZ48" s="300" t="str">
        <f t="shared" si="77"/>
        <v/>
      </c>
      <c r="HA48" s="93" t="str">
        <f t="shared" si="165"/>
        <v/>
      </c>
      <c r="HB48" s="300"/>
      <c r="HC48" s="93" t="str">
        <f t="shared" si="78"/>
        <v/>
      </c>
      <c r="HG48" s="1143">
        <v>10</v>
      </c>
      <c r="HH48" s="229" t="str">
        <f>IF($AC$16="","",IF($JB$16=$HH$3,$JC$16,IF(AND($W$16=$HH$3,$AA$16&lt;&gt;""),$AA$16,IF(AND($W$16=$HH$3,$AA$16=""),$AB$16,""))))</f>
        <v/>
      </c>
      <c r="HI48" s="299">
        <v>44</v>
      </c>
      <c r="HJ48" s="300" t="str">
        <f t="shared" si="79"/>
        <v/>
      </c>
      <c r="HK48" s="93" t="str">
        <f t="shared" si="166"/>
        <v/>
      </c>
      <c r="HL48" s="300"/>
      <c r="HM48" s="93" t="str">
        <f t="shared" si="70"/>
        <v/>
      </c>
      <c r="HN48" s="1149"/>
      <c r="HO48" s="131" t="str">
        <f>IF($H41="",$D41,$H41)</f>
        <v>Gunter Bauer</v>
      </c>
      <c r="HP48" s="327"/>
      <c r="HQ48" s="327" t="str">
        <f>IF($L41="","",$L41)</f>
        <v/>
      </c>
      <c r="HR48" s="327">
        <v>0.03</v>
      </c>
      <c r="HS48" s="458">
        <f>IF($M41="","",SUM(HR48+$M41))</f>
        <v>2.0299999999999998</v>
      </c>
      <c r="HT48" s="327">
        <f>RANK(HS48,HS47:HS50)</f>
        <v>2</v>
      </c>
      <c r="HU48" s="327" t="str">
        <f>IF(HQ48="",HO48,HO48&amp;" ("&amp;HQ48&amp;")")</f>
        <v>Gunter Bauer</v>
      </c>
      <c r="HV48" s="328">
        <v>2</v>
      </c>
      <c r="HW48" s="337" t="str">
        <f>IF(N40="","",VLOOKUP(HV48,HT47:HU50,2,FALSE))</f>
        <v>Gunter Bauer</v>
      </c>
      <c r="HX48" s="1149"/>
      <c r="HY48" s="131" t="str">
        <f>IF($W41="",$S41,$W41)</f>
        <v>Simon Reitsma</v>
      </c>
      <c r="HZ48" s="327"/>
      <c r="IA48" s="327" t="str">
        <f>IF($AA41="","",$AA41)</f>
        <v/>
      </c>
      <c r="IB48" s="327">
        <v>0.03</v>
      </c>
      <c r="IC48" s="458">
        <f>IF($AB41="","",SUM(IB48+$AB41))</f>
        <v>0.03</v>
      </c>
      <c r="ID48" s="327">
        <f>RANK(IC48,IC47:IC50)</f>
        <v>4</v>
      </c>
      <c r="IE48" s="327" t="str">
        <f>IF(IA48="",HY48,HY48&amp;" ("&amp;IA48&amp;")")</f>
        <v>Simon Reitsma</v>
      </c>
      <c r="IF48" s="344">
        <v>2</v>
      </c>
      <c r="IG48" s="337" t="str">
        <f>IF(AC40="","",VLOOKUP(IF48,ID47:IE50,2,FALSE))</f>
        <v>Daniil Ivanov</v>
      </c>
      <c r="IH48" s="1147"/>
      <c r="II48" s="361" t="str">
        <f>IF($AL41="",$AH41,$AL41)</f>
        <v>Igor Kononov</v>
      </c>
      <c r="IJ48" s="327">
        <f>IF($AR$40="B",3,IF($AR$41="B",2,IF($AR$42="B",1,0)))</f>
        <v>0</v>
      </c>
      <c r="IK48" s="327" t="str">
        <f>IF($AP41="","",IF($AL41&lt;&gt;"","",$AP41))</f>
        <v/>
      </c>
      <c r="IL48" s="327">
        <v>0.03</v>
      </c>
      <c r="IM48" s="327">
        <f>IF($AQ41="","",SUM(IL48+$AQ41))</f>
        <v>0.03</v>
      </c>
      <c r="IN48" s="327">
        <f>RANK(IJ48,IJ47:IJ50)</f>
        <v>4</v>
      </c>
      <c r="IO48" s="327" t="str">
        <f>IF(IK48="",II48,II48&amp;" ("&amp;IK48&amp;")")</f>
        <v>Igor Kononov</v>
      </c>
      <c r="IP48" s="344">
        <v>2</v>
      </c>
      <c r="IQ48" s="337" t="str">
        <f>IF($AR$40="","",VLOOKUP($IP48,IN$47:IO$51,2,FALSE))</f>
        <v>Daniil Ivanov</v>
      </c>
    </row>
    <row r="49" spans="4:251" ht="12.75" customHeight="1">
      <c r="D49" s="8"/>
      <c r="E49" s="8"/>
      <c r="F49" s="8"/>
      <c r="G49" s="8"/>
      <c r="H49" s="8"/>
      <c r="M49" s="8"/>
      <c r="N49" s="8"/>
      <c r="S49" s="8"/>
      <c r="T49" s="8"/>
      <c r="U49" s="8"/>
      <c r="V49" s="8"/>
      <c r="W49" s="8"/>
      <c r="AH49" s="8"/>
      <c r="AI49" s="8"/>
      <c r="AJ49" s="8"/>
      <c r="AK49" s="8"/>
      <c r="BJ49" s="8"/>
      <c r="BK49" s="443"/>
      <c r="BL49" s="972">
        <f>RANK(BX49,BX$48:BX$51)+COUNTIF(BX$48:BX52,BX49)-1</f>
        <v>2</v>
      </c>
      <c r="BM49" s="444">
        <v>2</v>
      </c>
      <c r="BN49" s="445" t="str">
        <f>IF(AQ$36=3,AH$36,IF(AQ$37=3,AH$37,IF(AQ$38=3,AH$38,IF(AQ$39=3,AH$39,""))))</f>
        <v>Dimitry Khomitsevich</v>
      </c>
      <c r="BO49" s="444"/>
      <c r="BP49" s="444"/>
      <c r="BQ49" s="444"/>
      <c r="BR49" s="446"/>
      <c r="BS49" s="969">
        <f>IF(BN49="","",VLOOKUP(BN49,$AV$12:$BB$27,7,FALSE))</f>
        <v>14</v>
      </c>
      <c r="BT49" s="8">
        <v>3</v>
      </c>
      <c r="BU49" s="8">
        <f>SUM(BS49:BT49)</f>
        <v>17</v>
      </c>
      <c r="BV49" s="8">
        <f>COUNTIF(BU$48:BU$51,BU49)</f>
        <v>1</v>
      </c>
      <c r="BW49" s="8">
        <f>IF(BV49=1,0,VLOOKUP(BN49,$AV$12:$BI$29,14,FALSE))</f>
        <v>0</v>
      </c>
      <c r="BX49" s="8">
        <f>SUM(BU49+SUM(BW49/1000))</f>
        <v>17</v>
      </c>
      <c r="CG49" s="16">
        <v>3</v>
      </c>
      <c r="CH49" s="14" t="str">
        <f t="shared" si="167"/>
        <v>Dimitry Khomitsevich</v>
      </c>
      <c r="CI49" s="496">
        <f t="shared" si="168"/>
        <v>18</v>
      </c>
      <c r="CU49" s="13">
        <f t="shared" si="178"/>
        <v>8</v>
      </c>
      <c r="CV49" s="13">
        <f t="shared" si="169"/>
        <v>10</v>
      </c>
      <c r="CW49" s="13" t="str">
        <f t="shared" si="169"/>
        <v>Franz Zorn</v>
      </c>
      <c r="CX49" s="13">
        <f t="shared" si="169"/>
        <v>2</v>
      </c>
      <c r="CY49" s="13">
        <f t="shared" si="169"/>
        <v>1</v>
      </c>
      <c r="CZ49" s="13">
        <f t="shared" si="169"/>
        <v>2</v>
      </c>
      <c r="DC49" s="13">
        <f t="shared" si="179"/>
        <v>5</v>
      </c>
      <c r="DD49" s="243">
        <f t="shared" si="170"/>
        <v>0</v>
      </c>
      <c r="DE49" s="236">
        <f t="shared" si="180"/>
        <v>0</v>
      </c>
      <c r="DF49" s="232">
        <f t="shared" si="171"/>
        <v>2</v>
      </c>
      <c r="DG49" s="234">
        <f t="shared" si="181"/>
        <v>2E-3</v>
      </c>
      <c r="DH49" s="232">
        <f t="shared" si="172"/>
        <v>1</v>
      </c>
      <c r="DI49" s="41">
        <f t="shared" si="182"/>
        <v>1E-4</v>
      </c>
      <c r="DJ49" s="271">
        <f t="shared" si="173"/>
        <v>0</v>
      </c>
      <c r="DK49" s="273">
        <f t="shared" si="174"/>
        <v>0</v>
      </c>
      <c r="DL49" s="281">
        <f t="shared" si="183"/>
        <v>0</v>
      </c>
      <c r="DM49" s="644">
        <f t="shared" si="184"/>
        <v>4.9999999999999998E-7</v>
      </c>
      <c r="DN49" s="285">
        <f t="shared" si="175"/>
        <v>5.0020999999999995</v>
      </c>
      <c r="DO49" s="285">
        <f t="shared" si="176"/>
        <v>5.0020999999999995</v>
      </c>
      <c r="DP49" s="285">
        <f t="shared" si="177"/>
        <v>5.0021004999999992</v>
      </c>
      <c r="FL49" s="716"/>
      <c r="FM49" s="716"/>
      <c r="FN49"/>
      <c r="FO49"/>
      <c r="FP49"/>
      <c r="FQ49"/>
      <c r="FR49"/>
      <c r="FS49"/>
      <c r="FT49"/>
      <c r="FU49"/>
      <c r="FV49"/>
      <c r="FW49"/>
      <c r="FX49"/>
      <c r="FY49"/>
      <c r="FZ49"/>
      <c r="GA49"/>
      <c r="GB49"/>
      <c r="GC49"/>
      <c r="GD49"/>
      <c r="GE49"/>
      <c r="GF49"/>
      <c r="GG49"/>
      <c r="GW49" s="1144"/>
      <c r="GX49" s="230" t="str">
        <f>IF($AC$16="","",IF($JB$17=$GX$3,$JC$17,IF(AND($W$17=$GX$3,$AA$17&lt;&gt;""),$AA$17,IF(AND($W$17=$GX$3,$AA$17=""),$AB$17,""))))</f>
        <v/>
      </c>
      <c r="GY49" s="301">
        <v>43</v>
      </c>
      <c r="GZ49" s="5" t="str">
        <f t="shared" si="77"/>
        <v/>
      </c>
      <c r="HA49" s="95" t="str">
        <f t="shared" si="165"/>
        <v/>
      </c>
      <c r="HB49" s="5"/>
      <c r="HC49" s="95" t="str">
        <f t="shared" si="78"/>
        <v/>
      </c>
      <c r="HG49" s="1144"/>
      <c r="HH49" s="230" t="str">
        <f>IF($AC$16="","",IF($JB$17=$HH$3,$JC$17,IF(AND($W$17=$HH$3,$AA$17&lt;&gt;""),$AA$17,IF(AND($W$17=$HH$3,$AA$17=""),$AB$17,""))))</f>
        <v/>
      </c>
      <c r="HI49" s="301">
        <v>43</v>
      </c>
      <c r="HJ49" s="5" t="str">
        <f t="shared" si="79"/>
        <v/>
      </c>
      <c r="HK49" s="95" t="str">
        <f t="shared" si="166"/>
        <v/>
      </c>
      <c r="HL49" s="5"/>
      <c r="HM49" s="95" t="str">
        <f t="shared" si="70"/>
        <v/>
      </c>
      <c r="HN49" s="1149"/>
      <c r="HO49" s="131" t="str">
        <f>IF($H42="",$D42,$H42)</f>
        <v>Vitaly Khomitsevich</v>
      </c>
      <c r="HP49" s="327"/>
      <c r="HQ49" s="327" t="str">
        <f>IF($L42="","",$L42)</f>
        <v/>
      </c>
      <c r="HR49" s="327">
        <v>0.02</v>
      </c>
      <c r="HS49" s="458">
        <f>IF($M42="","",SUM(HR49+$M42))</f>
        <v>3.02</v>
      </c>
      <c r="HT49" s="327">
        <f>RANK(HS49,HS47:HS50)</f>
        <v>1</v>
      </c>
      <c r="HU49" s="327" t="str">
        <f>IF(HQ49="",HO49,HO49&amp;" ("&amp;HQ49&amp;")")</f>
        <v>Vitaly Khomitsevich</v>
      </c>
      <c r="HV49" s="328">
        <v>3</v>
      </c>
      <c r="HW49" s="337" t="str">
        <f>IF(N40="","",VLOOKUP(HV49,HT47:HU50,2,FALSE))</f>
        <v>Stefan Svensson</v>
      </c>
      <c r="HX49" s="1149"/>
      <c r="HY49" s="131" t="str">
        <f>IF($W42="",$S42,$W42)</f>
        <v>Jan Klatovsky</v>
      </c>
      <c r="HZ49" s="327"/>
      <c r="IA49" s="327" t="str">
        <f>IF($AA42="","",$AA42)</f>
        <v/>
      </c>
      <c r="IB49" s="327">
        <v>0.02</v>
      </c>
      <c r="IC49" s="458">
        <f>IF($AB42="","",SUM(IB49+$AB42))</f>
        <v>1.02</v>
      </c>
      <c r="ID49" s="327">
        <f>RANK(IC49,IC47:IC50)</f>
        <v>3</v>
      </c>
      <c r="IE49" s="327" t="str">
        <f>IF(IA49="",HY49,HY49&amp;" ("&amp;IA49&amp;")")</f>
        <v>Jan Klatovsky</v>
      </c>
      <c r="IF49" s="344">
        <v>3</v>
      </c>
      <c r="IG49" s="337" t="str">
        <f>IF(AC40="","",VLOOKUP(IF49,ID47:IE50,2,FALSE))</f>
        <v>Jan Klatovsky</v>
      </c>
      <c r="IH49" s="1147"/>
      <c r="II49" s="361" t="str">
        <f>IF($AL42="",$AH42,$AL42)</f>
        <v>Dimitry Khomitsevich</v>
      </c>
      <c r="IJ49" s="327">
        <f>IF($AR$40="W",3,IF($AR$41="W",2,IF($AR$42="W",1,0)))</f>
        <v>1</v>
      </c>
      <c r="IK49" s="327" t="str">
        <f>IF($AP42="","",IF($AL42&lt;&gt;"","",$AP42))</f>
        <v/>
      </c>
      <c r="IL49" s="327">
        <v>0.02</v>
      </c>
      <c r="IM49" s="327">
        <f>IF($AQ42="","",SUM(IL49+$AQ42))</f>
        <v>1.02</v>
      </c>
      <c r="IN49" s="327">
        <f>RANK(IJ49,IJ47:IJ50)</f>
        <v>3</v>
      </c>
      <c r="IO49" s="327" t="str">
        <f>IF(IK49="",II49,II49&amp;" ("&amp;IK49&amp;")")</f>
        <v>Dimitry Khomitsevich</v>
      </c>
      <c r="IP49" s="344">
        <v>3</v>
      </c>
      <c r="IQ49" s="337" t="str">
        <f>IF($AR$40="","",VLOOKUP($IP49,IN$47:IO$51,2,FALSE))</f>
        <v>Dimitry Khomitsevich</v>
      </c>
    </row>
    <row r="50" spans="4:251" ht="12.75" customHeight="1" thickBot="1">
      <c r="D50" s="8"/>
      <c r="E50" s="8"/>
      <c r="F50" s="8"/>
      <c r="G50" s="8"/>
      <c r="H50" s="8"/>
      <c r="M50" s="8"/>
      <c r="N50" s="8"/>
      <c r="S50" s="8"/>
      <c r="T50" s="8"/>
      <c r="U50" s="8"/>
      <c r="V50" s="8"/>
      <c r="W50" s="8"/>
      <c r="AH50" s="8"/>
      <c r="AI50" s="8"/>
      <c r="AJ50" s="8"/>
      <c r="AK50" s="8"/>
      <c r="BJ50" s="8"/>
      <c r="BK50" s="443"/>
      <c r="BL50" s="973">
        <f>RANK(BX50,BX$48:BX$51)+COUNTIF(BX$48:BX53,BX50)-1</f>
        <v>4</v>
      </c>
      <c r="BM50" s="444">
        <v>3</v>
      </c>
      <c r="BN50" s="445" t="str">
        <f>IF(AQ$32=2,AH$32,IF(AQ$33=2,AH$33,IF(AQ$34=2,AH$34,IF(AQ$35=2,AH$35,""))))</f>
        <v>Igor Kononov</v>
      </c>
      <c r="BO50" s="444"/>
      <c r="BP50" s="444"/>
      <c r="BQ50" s="444"/>
      <c r="BR50" s="446"/>
      <c r="BS50" s="969">
        <f>IF(BN50="","",VLOOKUP(BN50,$AV$12:$BB$27,7,FALSE))</f>
        <v>12</v>
      </c>
      <c r="BT50" s="8">
        <v>2</v>
      </c>
      <c r="BU50" s="8">
        <f>SUM(BS50:BT50)</f>
        <v>14</v>
      </c>
      <c r="BV50" s="8">
        <f>COUNTIF(BU$48:BU$51,BU50)</f>
        <v>1</v>
      </c>
      <c r="BW50" s="8">
        <f>IF(BV50=1,0,VLOOKUP(BN50,$AV$12:$BI$29,14,FALSE))</f>
        <v>0</v>
      </c>
      <c r="BX50" s="8">
        <f>SUM(BU50+SUM(BW50/1000))</f>
        <v>14</v>
      </c>
      <c r="CG50" s="16">
        <v>4</v>
      </c>
      <c r="CH50" s="14" t="str">
        <f t="shared" si="167"/>
        <v>Igor Kononov</v>
      </c>
      <c r="CI50" s="496">
        <f t="shared" si="168"/>
        <v>14</v>
      </c>
      <c r="CU50" s="13">
        <f t="shared" si="178"/>
        <v>13</v>
      </c>
      <c r="CV50" s="13">
        <f t="shared" si="169"/>
        <v>6</v>
      </c>
      <c r="CW50" s="13" t="str">
        <f t="shared" si="169"/>
        <v>Jan Klatovsky</v>
      </c>
      <c r="CX50" s="13">
        <f t="shared" si="169"/>
        <v>1</v>
      </c>
      <c r="CY50" s="13">
        <f t="shared" si="169"/>
        <v>0</v>
      </c>
      <c r="CZ50" s="13">
        <f t="shared" si="169"/>
        <v>0</v>
      </c>
      <c r="DC50" s="13">
        <f t="shared" si="179"/>
        <v>1</v>
      </c>
      <c r="DD50" s="243">
        <f t="shared" si="170"/>
        <v>0</v>
      </c>
      <c r="DE50" s="236">
        <f t="shared" si="180"/>
        <v>0</v>
      </c>
      <c r="DF50" s="232">
        <f t="shared" si="171"/>
        <v>0</v>
      </c>
      <c r="DG50" s="234">
        <f t="shared" si="181"/>
        <v>0</v>
      </c>
      <c r="DH50" s="232">
        <f t="shared" si="172"/>
        <v>1</v>
      </c>
      <c r="DI50" s="41">
        <f t="shared" si="182"/>
        <v>1E-4</v>
      </c>
      <c r="DJ50" s="271">
        <f t="shared" si="173"/>
        <v>2</v>
      </c>
      <c r="DK50" s="273">
        <f t="shared" si="174"/>
        <v>2.0000000000000002E-5</v>
      </c>
      <c r="DL50" s="281">
        <f t="shared" si="183"/>
        <v>9.9999999999999995E-7</v>
      </c>
      <c r="DM50" s="643">
        <f t="shared" si="184"/>
        <v>5.4000000000000002E-7</v>
      </c>
      <c r="DN50" s="284">
        <f t="shared" si="175"/>
        <v>1.0001199999999999</v>
      </c>
      <c r="DO50" s="284">
        <f t="shared" si="176"/>
        <v>1.0001209999999998</v>
      </c>
      <c r="DP50" s="284">
        <f t="shared" si="177"/>
        <v>1.0001215399999999</v>
      </c>
      <c r="FL50" s="716"/>
      <c r="FM50" s="716"/>
      <c r="FN50"/>
      <c r="FO50"/>
      <c r="FP50"/>
      <c r="FQ50"/>
      <c r="FR50"/>
      <c r="FS50"/>
      <c r="FT50"/>
      <c r="FU50"/>
      <c r="FV50"/>
      <c r="FW50"/>
      <c r="FX50"/>
      <c r="FY50"/>
      <c r="FZ50"/>
      <c r="GA50"/>
      <c r="GB50"/>
      <c r="GC50"/>
      <c r="GD50"/>
      <c r="GE50"/>
      <c r="GF50"/>
      <c r="GG50"/>
      <c r="GW50" s="1144"/>
      <c r="GX50" s="230" t="str">
        <f>IF($AC$16="","",IF($JB$18=$GX$3,$JC$18,IF(AND($W$18=$GX$3,$AA$18&lt;&gt;""),$AA$18,IF(AND($W$18=$GX$3,$AA$18=""),$AB$18,""))))</f>
        <v/>
      </c>
      <c r="GY50" s="301">
        <v>42</v>
      </c>
      <c r="GZ50" s="5" t="str">
        <f t="shared" si="77"/>
        <v/>
      </c>
      <c r="HA50" s="95" t="str">
        <f t="shared" si="165"/>
        <v/>
      </c>
      <c r="HB50" s="5"/>
      <c r="HC50" s="95" t="str">
        <f t="shared" si="78"/>
        <v/>
      </c>
      <c r="HG50" s="1144"/>
      <c r="HH50" s="230" t="str">
        <f>IF($AC$16="","",IF($JB$18=$HH$3,$JC$18,IF(AND($W$18=$HH$3,$AA$18&lt;&gt;""),$AA$18,IF(AND($W$18=$HH$3,$AA$18=""),$AB$18,""))))</f>
        <v/>
      </c>
      <c r="HI50" s="301">
        <v>42</v>
      </c>
      <c r="HJ50" s="5" t="str">
        <f t="shared" si="79"/>
        <v/>
      </c>
      <c r="HK50" s="95" t="str">
        <f t="shared" si="166"/>
        <v/>
      </c>
      <c r="HL50" s="5"/>
      <c r="HM50" s="95" t="str">
        <f t="shared" si="70"/>
        <v/>
      </c>
      <c r="HN50" s="1150">
        <v>8</v>
      </c>
      <c r="HO50" s="131" t="str">
        <f>IF($H43="",$D43,$H43)</f>
        <v>Stefan Svensson</v>
      </c>
      <c r="HP50" s="327"/>
      <c r="HQ50" s="327" t="str">
        <f>IF($L43="","",$L43)</f>
        <v/>
      </c>
      <c r="HR50" s="327">
        <v>0.01</v>
      </c>
      <c r="HS50" s="458">
        <f>IF($M43="","",SUM(HR50+$M43))</f>
        <v>1.01</v>
      </c>
      <c r="HT50" s="327">
        <f>RANK(HS50,HS47:HS50)</f>
        <v>3</v>
      </c>
      <c r="HU50" s="327" t="str">
        <f>IF(HQ50="",HO50,HO50&amp;" ("&amp;HQ50&amp;")")</f>
        <v>Stefan Svensson</v>
      </c>
      <c r="HV50" s="328">
        <v>4</v>
      </c>
      <c r="HW50" s="337" t="str">
        <f>IF(N40="","",VLOOKUP(HV50,HT47:HU50,2,FALSE))</f>
        <v>Jan Klatovsky</v>
      </c>
      <c r="HX50" s="1150">
        <v>16</v>
      </c>
      <c r="HY50" s="131" t="str">
        <f>IF($W43="",$S43,$W43)</f>
        <v>Dimitry Koltakov</v>
      </c>
      <c r="HZ50" s="327"/>
      <c r="IA50" s="327" t="str">
        <f>IF($AA43="","",$AA43)</f>
        <v/>
      </c>
      <c r="IB50" s="327">
        <v>0.01</v>
      </c>
      <c r="IC50" s="458">
        <f>IF($AB43="","",SUM(IB50+$AB43))</f>
        <v>3.01</v>
      </c>
      <c r="ID50" s="327">
        <f>RANK(IC50,IC47:IC50)</f>
        <v>1</v>
      </c>
      <c r="IE50" s="327" t="str">
        <f>IF(IA50="",HY50,HY50&amp;" ("&amp;IA50&amp;")")</f>
        <v>Dimitry Koltakov</v>
      </c>
      <c r="IF50" s="344">
        <v>4</v>
      </c>
      <c r="IG50" s="337" t="str">
        <f>IF(AC40="","",VLOOKUP(IF50,ID47:IE50,2,FALSE))</f>
        <v>Simon Reitsma</v>
      </c>
      <c r="IH50" s="1147">
        <v>8</v>
      </c>
      <c r="II50" s="362" t="str">
        <f>IF($AL43="",$AH43,$AL43)</f>
        <v>Daniil Ivanov</v>
      </c>
      <c r="IJ50" s="338">
        <f>IF($AR$40="Y",3,IF($AR$41="Y",2,IF($AR$42="Y",1,0)))</f>
        <v>2</v>
      </c>
      <c r="IK50" s="338" t="str">
        <f>IF($AP43="","",IF($AL43&lt;&gt;"","",$AP43))</f>
        <v/>
      </c>
      <c r="IL50" s="327">
        <v>0.01</v>
      </c>
      <c r="IM50" s="338">
        <f>IF($AQ43="","",SUM(IL50+$AQ43))</f>
        <v>2.0099999999999998</v>
      </c>
      <c r="IN50" s="327">
        <f>RANK(IJ50,IJ47:IJ50)</f>
        <v>2</v>
      </c>
      <c r="IO50" s="338" t="str">
        <f>IF(IK50="",II50,II50&amp;" ("&amp;IK50&amp;")")</f>
        <v>Daniil Ivanov</v>
      </c>
      <c r="IP50" s="351">
        <v>4</v>
      </c>
      <c r="IQ50" s="339" t="str">
        <f>IF($AR$40="","",VLOOKUP($IP50,IN$47:IO$51,2,FALSE))</f>
        <v>Igor Kononov</v>
      </c>
    </row>
    <row r="51" spans="4:251" ht="12.75" customHeight="1" thickBot="1">
      <c r="D51" s="8"/>
      <c r="E51" s="8"/>
      <c r="F51" s="8"/>
      <c r="G51" s="8"/>
      <c r="H51" s="8"/>
      <c r="M51" s="8"/>
      <c r="N51" s="8"/>
      <c r="S51" s="8"/>
      <c r="T51" s="8"/>
      <c r="U51" s="8"/>
      <c r="V51" s="8"/>
      <c r="W51" s="8"/>
      <c r="AH51" s="8"/>
      <c r="AI51" s="8"/>
      <c r="AJ51" s="8"/>
      <c r="AK51" s="8"/>
      <c r="BJ51" s="8"/>
      <c r="BK51" s="447"/>
      <c r="BL51" s="973">
        <f>RANK(BX51,BX$48:BX$51)+COUNTIF(BX$48:BX54,BX51)-1</f>
        <v>3</v>
      </c>
      <c r="BM51" s="448">
        <v>4</v>
      </c>
      <c r="BN51" s="449" t="str">
        <f>IF(AQ$36=2,AH$36,IF(AQ$37=2,AH$37,IF(AQ$38=2,AH$38,IF(AQ$39=2,AH$39,""))))</f>
        <v>Daniil Ivanov</v>
      </c>
      <c r="BO51" s="448"/>
      <c r="BP51" s="448"/>
      <c r="BQ51" s="448"/>
      <c r="BR51" s="450"/>
      <c r="BS51" s="970">
        <f>IF(BN51="","",VLOOKUP(BN51,$AV$12:$BB$27,7,FALSE))</f>
        <v>13</v>
      </c>
      <c r="BT51" s="8">
        <v>2</v>
      </c>
      <c r="BU51" s="8">
        <f>SUM(BS51:BT51)</f>
        <v>15</v>
      </c>
      <c r="BV51" s="8">
        <f>COUNTIF(BU$48:BU$51,BU51)</f>
        <v>1</v>
      </c>
      <c r="BW51" s="8">
        <f>IF(BV51=1,0,VLOOKUP(BN51,$AV$12:$BI$29,14,FALSE))</f>
        <v>0</v>
      </c>
      <c r="BX51" s="8">
        <f>SUM(BU51+SUM(BW51/1000))</f>
        <v>15</v>
      </c>
      <c r="CG51" s="16">
        <v>5</v>
      </c>
      <c r="CH51" s="14" t="str">
        <f t="shared" si="167"/>
        <v>Vitaly Khomitsevich</v>
      </c>
      <c r="CI51" s="496">
        <f t="shared" si="168"/>
        <v>12</v>
      </c>
      <c r="CU51" s="13">
        <f t="shared" si="178"/>
        <v>12</v>
      </c>
      <c r="CV51" s="13">
        <f t="shared" si="169"/>
        <v>14</v>
      </c>
      <c r="CW51" s="13" t="str">
        <f t="shared" si="169"/>
        <v>Antonin Klatovsky</v>
      </c>
      <c r="CX51" s="13">
        <f t="shared" si="169"/>
        <v>1</v>
      </c>
      <c r="CY51" s="13">
        <f t="shared" si="169"/>
        <v>1</v>
      </c>
      <c r="CZ51" s="13">
        <f t="shared" si="169"/>
        <v>0</v>
      </c>
      <c r="DC51" s="13">
        <f t="shared" si="179"/>
        <v>2</v>
      </c>
      <c r="DD51" s="243">
        <f t="shared" si="170"/>
        <v>0</v>
      </c>
      <c r="DE51" s="236">
        <f t="shared" si="180"/>
        <v>0</v>
      </c>
      <c r="DF51" s="232">
        <f t="shared" si="171"/>
        <v>0</v>
      </c>
      <c r="DG51" s="234">
        <f t="shared" si="181"/>
        <v>0</v>
      </c>
      <c r="DH51" s="232">
        <f t="shared" si="172"/>
        <v>2</v>
      </c>
      <c r="DI51" s="41">
        <f t="shared" si="182"/>
        <v>2.0000000000000001E-4</v>
      </c>
      <c r="DJ51" s="271">
        <f t="shared" si="173"/>
        <v>1</v>
      </c>
      <c r="DK51" s="273">
        <f t="shared" si="174"/>
        <v>1.0000000000000001E-5</v>
      </c>
      <c r="DL51" s="281">
        <f t="shared" si="183"/>
        <v>0</v>
      </c>
      <c r="DM51" s="644">
        <f t="shared" si="184"/>
        <v>4.5999999999999999E-7</v>
      </c>
      <c r="DN51" s="285">
        <f t="shared" si="175"/>
        <v>2.00021</v>
      </c>
      <c r="DO51" s="285">
        <f t="shared" si="176"/>
        <v>2.00021</v>
      </c>
      <c r="DP51" s="285">
        <f t="shared" si="177"/>
        <v>2.0002104599999999</v>
      </c>
      <c r="FL51" s="716"/>
      <c r="FM51" s="716"/>
      <c r="FN51"/>
      <c r="FO51"/>
      <c r="FP51"/>
      <c r="FQ51"/>
      <c r="FR51"/>
      <c r="FS51"/>
      <c r="FT51"/>
      <c r="FU51"/>
      <c r="FV51"/>
      <c r="FW51"/>
      <c r="FX51"/>
      <c r="FY51"/>
      <c r="FZ51"/>
      <c r="GA51"/>
      <c r="GB51"/>
      <c r="GC51"/>
      <c r="GD51"/>
      <c r="GE51"/>
      <c r="GF51"/>
      <c r="GG51"/>
      <c r="GW51" s="1145"/>
      <c r="GX51" s="231" t="str">
        <f>IF($AC$16="","",IF($JB$19=$GX$3,$JC$19,IF(AND($W$19=$GX$3,$AA$19&lt;&gt;""),$AA$19,IF(AND($W$19=$GX$3,$AA$19=""),$AB$19,""))))</f>
        <v/>
      </c>
      <c r="GY51" s="302">
        <v>41</v>
      </c>
      <c r="GZ51" s="303" t="str">
        <f t="shared" si="77"/>
        <v/>
      </c>
      <c r="HA51" s="98" t="str">
        <f t="shared" si="165"/>
        <v/>
      </c>
      <c r="HB51" s="303"/>
      <c r="HC51" s="98" t="str">
        <f t="shared" si="78"/>
        <v/>
      </c>
      <c r="HG51" s="1145"/>
      <c r="HH51" s="231" t="str">
        <f>IF($AC$16="","",IF($JB$19=$HH$3,$JC$19,IF(AND($W$19=$HH$3,$AA$19&lt;&gt;""),$AA$19,IF(AND($W$19=$HH$3,$AA$19=""),$AB$19,""))))</f>
        <v/>
      </c>
      <c r="HI51" s="302">
        <v>41</v>
      </c>
      <c r="HJ51" s="303" t="str">
        <f t="shared" si="79"/>
        <v/>
      </c>
      <c r="HK51" s="98" t="str">
        <f t="shared" si="166"/>
        <v/>
      </c>
      <c r="HL51" s="303"/>
      <c r="HM51" s="98" t="str">
        <f t="shared" si="70"/>
        <v/>
      </c>
      <c r="HN51" s="348" t="str">
        <f>IF($A43="","",$A43)</f>
        <v>61,66</v>
      </c>
      <c r="HO51" s="132" t="str">
        <f>IF($H40&lt;&gt;"",$D40,IF($H41&lt;&gt;"",$D41,IF($H42&lt;&gt;"",$D42,IF($H43&lt;&gt;"",$D43,""))))</f>
        <v/>
      </c>
      <c r="HP51" s="338" t="str">
        <f>IF(HO51="","",VLOOKUP($HO51,$CW$3:$DB$18,3,FALSE))</f>
        <v/>
      </c>
      <c r="HQ51" s="338"/>
      <c r="HR51" s="338"/>
      <c r="HS51" s="338">
        <v>5</v>
      </c>
      <c r="HT51" s="338"/>
      <c r="HU51" s="132" t="str">
        <f>IF(HO51="","",HO51&amp;" ("&amp;HP51&amp;")")</f>
        <v/>
      </c>
      <c r="HV51" s="349">
        <v>5</v>
      </c>
      <c r="HW51" s="339" t="str">
        <f>IF(HU51="","",HU51)</f>
        <v/>
      </c>
      <c r="HX51" s="348" t="str">
        <f>IF($P43="","",$P43)</f>
        <v>60,85</v>
      </c>
      <c r="HY51" s="132" t="str">
        <f>IF($W40&lt;&gt;"",$S40,IF($W41&lt;&gt;"",$S41,IF($W42&lt;&gt;"",$S42,IF($W43&lt;&gt;"",$S43,""))))</f>
        <v>Rene Stellingwerf</v>
      </c>
      <c r="HZ51" s="338" t="str">
        <f>IF(HY51="","",VLOOKUP($HY51,$CW$3:$DB$18,5,FALSE))</f>
        <v>N</v>
      </c>
      <c r="IA51" s="338"/>
      <c r="IB51" s="338"/>
      <c r="IC51" s="338">
        <v>5</v>
      </c>
      <c r="ID51" s="338"/>
      <c r="IE51" s="132" t="str">
        <f>IF(HY51="","",HY51&amp;" ("&amp;HZ51&amp;")")</f>
        <v>Rene Stellingwerf (N)</v>
      </c>
      <c r="IF51" s="351">
        <v>5</v>
      </c>
      <c r="IG51" s="339" t="str">
        <f>IF(IE51="","",IE51)</f>
        <v>Rene Stellingwerf (N)</v>
      </c>
      <c r="IH51" s="363" t="str">
        <f>IF($AE43="","",$AE43)</f>
        <v>62,06</v>
      </c>
      <c r="II51"/>
      <c r="IJ51"/>
      <c r="IK51"/>
      <c r="IL51"/>
      <c r="IM51"/>
      <c r="IN51"/>
      <c r="IO51"/>
      <c r="IP51"/>
      <c r="IQ51"/>
    </row>
    <row r="52" spans="4:251" ht="12.75" customHeight="1">
      <c r="D52" s="8"/>
      <c r="E52" s="8"/>
      <c r="F52" s="8"/>
      <c r="G52" s="8"/>
      <c r="H52" s="8"/>
      <c r="M52" s="8"/>
      <c r="N52" s="8"/>
      <c r="S52" s="8"/>
      <c r="T52" s="8"/>
      <c r="U52" s="8"/>
      <c r="V52" s="8"/>
      <c r="W52" s="8"/>
      <c r="AH52" s="8"/>
      <c r="AI52" s="8"/>
      <c r="AJ52" s="8"/>
      <c r="AK52" s="8"/>
      <c r="BJ52" s="8"/>
      <c r="CG52" s="16">
        <v>6</v>
      </c>
      <c r="CH52" s="14" t="str">
        <f t="shared" si="167"/>
        <v>Franz Zorn</v>
      </c>
      <c r="CI52" s="496">
        <f t="shared" si="168"/>
        <v>11</v>
      </c>
      <c r="CU52" s="13">
        <f t="shared" si="178"/>
        <v>17</v>
      </c>
      <c r="CV52" s="13">
        <f t="shared" si="169"/>
        <v>16</v>
      </c>
      <c r="CW52" s="13" t="str">
        <f t="shared" si="169"/>
        <v>Rene Stellingwerf</v>
      </c>
      <c r="CX52" s="13" t="str">
        <f t="shared" si="169"/>
        <v>N</v>
      </c>
      <c r="CY52" s="13" t="str">
        <f t="shared" si="169"/>
        <v>N</v>
      </c>
      <c r="CZ52" s="13" t="str">
        <f t="shared" si="169"/>
        <v>N</v>
      </c>
      <c r="DC52" s="13">
        <f t="shared" si="179"/>
        <v>0</v>
      </c>
      <c r="DD52" s="243">
        <f t="shared" si="170"/>
        <v>0</v>
      </c>
      <c r="DE52" s="236">
        <f t="shared" si="180"/>
        <v>0</v>
      </c>
      <c r="DF52" s="232">
        <f t="shared" si="171"/>
        <v>0</v>
      </c>
      <c r="DG52" s="234">
        <f t="shared" si="181"/>
        <v>0</v>
      </c>
      <c r="DH52" s="232">
        <f t="shared" si="172"/>
        <v>0</v>
      </c>
      <c r="DI52" s="41">
        <f t="shared" si="182"/>
        <v>0</v>
      </c>
      <c r="DJ52" s="271">
        <f t="shared" si="173"/>
        <v>0</v>
      </c>
      <c r="DK52" s="273">
        <f t="shared" si="174"/>
        <v>0</v>
      </c>
      <c r="DL52" s="281">
        <f t="shared" si="183"/>
        <v>0</v>
      </c>
      <c r="DM52" s="643">
        <f t="shared" si="184"/>
        <v>4.4000000000000002E-7</v>
      </c>
      <c r="DN52" s="284">
        <f t="shared" si="175"/>
        <v>0</v>
      </c>
      <c r="DO52" s="284">
        <f t="shared" si="176"/>
        <v>0</v>
      </c>
      <c r="DP52" s="284">
        <f t="shared" si="177"/>
        <v>4.4000000000000002E-7</v>
      </c>
      <c r="FL52" s="716"/>
      <c r="FM52" s="716"/>
      <c r="FN52"/>
      <c r="FO52"/>
      <c r="FP52"/>
      <c r="FQ52"/>
      <c r="FR52"/>
      <c r="FS52"/>
      <c r="FT52"/>
      <c r="FU52"/>
      <c r="FV52"/>
      <c r="FW52"/>
      <c r="FX52"/>
      <c r="FY52"/>
      <c r="FZ52"/>
      <c r="GA52"/>
      <c r="GB52"/>
      <c r="GC52"/>
      <c r="GD52"/>
      <c r="GE52"/>
      <c r="GF52"/>
      <c r="GG52"/>
      <c r="GW52" s="1143">
        <v>11</v>
      </c>
      <c r="GX52" s="229" t="str">
        <f>IF($AC$20="","",IF($JB$20=$GX$3,$JC$20,IF(AND($W$20=$GX$3,$AA$20&lt;&gt;""),$AA$20,IF(AND($W$20=$GX$3,$AA$20=""),$AB$20,""))))</f>
        <v/>
      </c>
      <c r="GY52" s="299">
        <v>40</v>
      </c>
      <c r="GZ52" s="300" t="str">
        <f t="shared" si="77"/>
        <v/>
      </c>
      <c r="HA52" s="93" t="str">
        <f t="shared" si="165"/>
        <v/>
      </c>
      <c r="HB52" s="300"/>
      <c r="HC52" s="93" t="str">
        <f t="shared" si="78"/>
        <v/>
      </c>
      <c r="HG52" s="1143">
        <v>11</v>
      </c>
      <c r="HH52" s="229" t="str">
        <f>IF($AC$20="","",IF($JB$20=$HH$3,$JC$20,IF(AND($W$20=$HH$3,$AA$20&lt;&gt;""),$AA$20,IF(AND($W$20=$HH$3,$AA$20=""),$AB$20,""))))</f>
        <v/>
      </c>
      <c r="HI52" s="299">
        <v>40</v>
      </c>
      <c r="HJ52" s="300" t="str">
        <f t="shared" si="79"/>
        <v/>
      </c>
      <c r="HK52" s="93" t="str">
        <f t="shared" si="166"/>
        <v/>
      </c>
      <c r="HL52" s="300"/>
      <c r="HM52" s="93" t="str">
        <f t="shared" si="70"/>
        <v/>
      </c>
      <c r="HN52" s="324"/>
    </row>
    <row r="53" spans="4:251" ht="12.75" customHeight="1">
      <c r="D53" s="8"/>
      <c r="E53" s="8"/>
      <c r="F53" s="8"/>
      <c r="G53" s="8"/>
      <c r="H53" s="8"/>
      <c r="M53" s="8"/>
      <c r="N53" s="8"/>
      <c r="S53" s="8"/>
      <c r="T53" s="8"/>
      <c r="U53" s="8"/>
      <c r="V53" s="8"/>
      <c r="W53" s="8"/>
      <c r="AH53" s="8"/>
      <c r="AI53" s="8"/>
      <c r="AJ53" s="8"/>
      <c r="AK53" s="8"/>
      <c r="BJ53" s="8"/>
      <c r="CG53" s="16">
        <v>7</v>
      </c>
      <c r="CH53" s="14" t="str">
        <f t="shared" si="167"/>
        <v>Gunter Bauer</v>
      </c>
      <c r="CI53" s="496">
        <f t="shared" si="168"/>
        <v>9</v>
      </c>
      <c r="CU53" s="13">
        <f t="shared" si="178"/>
        <v>4</v>
      </c>
      <c r="CV53" s="13">
        <f t="shared" si="169"/>
        <v>4</v>
      </c>
      <c r="CW53" s="13" t="str">
        <f t="shared" si="169"/>
        <v>Igor Kononov</v>
      </c>
      <c r="CX53" s="13">
        <f t="shared" si="169"/>
        <v>3</v>
      </c>
      <c r="CY53" s="13">
        <f t="shared" si="169"/>
        <v>2</v>
      </c>
      <c r="CZ53" s="13">
        <f t="shared" si="169"/>
        <v>3</v>
      </c>
      <c r="DC53" s="13">
        <f t="shared" si="179"/>
        <v>8</v>
      </c>
      <c r="DD53" s="243">
        <f t="shared" si="170"/>
        <v>2</v>
      </c>
      <c r="DE53" s="236">
        <f t="shared" si="180"/>
        <v>0.02</v>
      </c>
      <c r="DF53" s="232">
        <f t="shared" si="171"/>
        <v>1</v>
      </c>
      <c r="DG53" s="234">
        <f t="shared" si="181"/>
        <v>1E-3</v>
      </c>
      <c r="DH53" s="232">
        <f t="shared" si="172"/>
        <v>0</v>
      </c>
      <c r="DI53" s="41">
        <f t="shared" si="182"/>
        <v>0</v>
      </c>
      <c r="DJ53" s="271">
        <f t="shared" si="173"/>
        <v>0</v>
      </c>
      <c r="DK53" s="273">
        <f t="shared" si="174"/>
        <v>0</v>
      </c>
      <c r="DL53" s="281">
        <f t="shared" si="183"/>
        <v>0</v>
      </c>
      <c r="DM53" s="644">
        <f t="shared" si="184"/>
        <v>5.6000000000000004E-7</v>
      </c>
      <c r="DN53" s="285">
        <f t="shared" si="175"/>
        <v>8.020999999999999</v>
      </c>
      <c r="DO53" s="285">
        <f t="shared" si="176"/>
        <v>8.020999999999999</v>
      </c>
      <c r="DP53" s="285">
        <f t="shared" si="177"/>
        <v>8.0210005599999992</v>
      </c>
      <c r="FL53" s="716"/>
      <c r="FM53" s="716"/>
      <c r="FN53"/>
      <c r="FO53"/>
      <c r="FP53"/>
      <c r="FQ53"/>
      <c r="FR53"/>
      <c r="FS53"/>
      <c r="FT53"/>
      <c r="FU53"/>
      <c r="FV53"/>
      <c r="FW53"/>
      <c r="FX53"/>
      <c r="FY53"/>
      <c r="FZ53"/>
      <c r="GA53"/>
      <c r="GB53"/>
      <c r="GC53"/>
      <c r="GD53"/>
      <c r="GE53"/>
      <c r="GF53"/>
      <c r="GG53"/>
      <c r="GW53" s="1144"/>
      <c r="GX53" s="230" t="str">
        <f>IF($AC$20="","",IF($JB$21=$GX$3,$JC$21,IF(AND($W$21=$GX$3,$AA$21&lt;&gt;""),$AA$21,IF(AND($W$21=$GX$3,$AA$21=""),$AB$21,""))))</f>
        <v/>
      </c>
      <c r="GY53" s="301">
        <v>39</v>
      </c>
      <c r="GZ53" s="5" t="str">
        <f t="shared" si="77"/>
        <v/>
      </c>
      <c r="HA53" s="95" t="str">
        <f t="shared" si="165"/>
        <v/>
      </c>
      <c r="HB53" s="5"/>
      <c r="HC53" s="95" t="str">
        <f t="shared" si="78"/>
        <v/>
      </c>
      <c r="HG53" s="1144"/>
      <c r="HH53" s="230" t="str">
        <f>IF($AC$20="","",IF($JB$21=$HH$3,$JC$21,IF(AND($W$21=$HH$3,$AA$21&lt;&gt;""),$AA$21,IF(AND($W$21=$HH$3,$AA$21=""),$AB$21,""))))</f>
        <v/>
      </c>
      <c r="HI53" s="301">
        <v>39</v>
      </c>
      <c r="HJ53" s="5" t="str">
        <f t="shared" si="79"/>
        <v/>
      </c>
      <c r="HK53" s="95" t="str">
        <f t="shared" si="166"/>
        <v/>
      </c>
      <c r="HL53" s="5"/>
      <c r="HM53" s="95" t="str">
        <f t="shared" si="70"/>
        <v/>
      </c>
      <c r="HN53" s="324"/>
    </row>
    <row r="54" spans="4:251" ht="12.75" customHeight="1">
      <c r="D54" s="8"/>
      <c r="E54" s="8"/>
      <c r="F54" s="8"/>
      <c r="G54" s="8"/>
      <c r="H54" s="8"/>
      <c r="M54" s="8"/>
      <c r="N54" s="8"/>
      <c r="S54" s="8"/>
      <c r="T54" s="8"/>
      <c r="U54" s="8"/>
      <c r="V54" s="8"/>
      <c r="W54" s="8"/>
      <c r="AH54" s="8"/>
      <c r="AI54" s="8"/>
      <c r="AJ54" s="8"/>
      <c r="AK54" s="8"/>
      <c r="BJ54" s="8"/>
      <c r="CG54" s="16">
        <v>8</v>
      </c>
      <c r="CH54" s="14" t="str">
        <f t="shared" si="167"/>
        <v>Stefan Svensson</v>
      </c>
      <c r="CI54" s="496">
        <f t="shared" si="168"/>
        <v>8</v>
      </c>
      <c r="CU54" s="13">
        <f t="shared" si="178"/>
        <v>7</v>
      </c>
      <c r="CV54" s="13">
        <f t="shared" si="169"/>
        <v>7</v>
      </c>
      <c r="CW54" s="13" t="str">
        <f t="shared" si="169"/>
        <v>Gunter Bauer</v>
      </c>
      <c r="CX54" s="13">
        <f t="shared" si="169"/>
        <v>2</v>
      </c>
      <c r="CY54" s="13">
        <f t="shared" si="169"/>
        <v>2</v>
      </c>
      <c r="CZ54" s="13">
        <f t="shared" si="169"/>
        <v>1</v>
      </c>
      <c r="DC54" s="13">
        <f t="shared" si="179"/>
        <v>5</v>
      </c>
      <c r="DD54" s="243">
        <f t="shared" si="170"/>
        <v>0</v>
      </c>
      <c r="DE54" s="236">
        <f t="shared" si="180"/>
        <v>0</v>
      </c>
      <c r="DF54" s="232">
        <f t="shared" si="171"/>
        <v>2</v>
      </c>
      <c r="DG54" s="234">
        <f t="shared" si="181"/>
        <v>2E-3</v>
      </c>
      <c r="DH54" s="232">
        <f t="shared" si="172"/>
        <v>1</v>
      </c>
      <c r="DI54" s="41">
        <f t="shared" si="182"/>
        <v>1E-4</v>
      </c>
      <c r="DJ54" s="271">
        <f t="shared" si="173"/>
        <v>0</v>
      </c>
      <c r="DK54" s="273">
        <f t="shared" si="174"/>
        <v>0</v>
      </c>
      <c r="DL54" s="281">
        <f t="shared" si="183"/>
        <v>0</v>
      </c>
      <c r="DM54" s="643">
        <f t="shared" si="184"/>
        <v>5.3000000000000001E-7</v>
      </c>
      <c r="DN54" s="284">
        <f t="shared" si="175"/>
        <v>5.0020999999999995</v>
      </c>
      <c r="DO54" s="284">
        <f t="shared" si="176"/>
        <v>5.0020999999999995</v>
      </c>
      <c r="DP54" s="284">
        <f t="shared" si="177"/>
        <v>5.0021005299999999</v>
      </c>
      <c r="FL54" s="716"/>
      <c r="FM54" s="716"/>
      <c r="FN54"/>
      <c r="FO54"/>
      <c r="FP54"/>
      <c r="FQ54"/>
      <c r="FR54"/>
      <c r="FS54"/>
      <c r="FT54"/>
      <c r="FU54"/>
      <c r="FV54"/>
      <c r="FW54"/>
      <c r="FX54"/>
      <c r="FY54"/>
      <c r="FZ54"/>
      <c r="GA54"/>
      <c r="GB54"/>
      <c r="GC54"/>
      <c r="GD54"/>
      <c r="GE54"/>
      <c r="GF54"/>
      <c r="GG54"/>
      <c r="GW54" s="1144"/>
      <c r="GX54" s="230" t="str">
        <f>IF($AC$20="","",IF($JB$22=$GX$3,$JC$22,IF(AND($W$22=$GX$3,$AA$22&lt;&gt;""),$AA$22,IF(AND($W$22=$GX$3,$AA$22=""),$AB$22,""))))</f>
        <v/>
      </c>
      <c r="GY54" s="301">
        <v>38</v>
      </c>
      <c r="GZ54" s="5" t="str">
        <f t="shared" si="77"/>
        <v/>
      </c>
      <c r="HA54" s="95" t="str">
        <f t="shared" si="165"/>
        <v/>
      </c>
      <c r="HB54" s="5"/>
      <c r="HC54" s="95" t="str">
        <f t="shared" si="78"/>
        <v/>
      </c>
      <c r="HG54" s="1144"/>
      <c r="HH54" s="230" t="str">
        <f>IF($AC$20="","",IF($JB$22=$HH$3,$JC$22,IF(AND($W$22=$HH$3,$AA$22&lt;&gt;""),$AA$22,IF(AND($W$22=$HH$3,$AA$22=""),$AB$22,""))))</f>
        <v/>
      </c>
      <c r="HI54" s="301">
        <v>38</v>
      </c>
      <c r="HJ54" s="5" t="str">
        <f t="shared" si="79"/>
        <v/>
      </c>
      <c r="HK54" s="95" t="str">
        <f t="shared" si="166"/>
        <v/>
      </c>
      <c r="HL54" s="5"/>
      <c r="HM54" s="95" t="str">
        <f t="shared" si="70"/>
        <v/>
      </c>
    </row>
    <row r="55" spans="4:251" ht="12.75" customHeight="1" thickBot="1">
      <c r="D55" s="8"/>
      <c r="E55" s="8"/>
      <c r="F55" s="8"/>
      <c r="G55" s="8"/>
      <c r="H55" s="8"/>
      <c r="M55" s="8"/>
      <c r="N55" s="8"/>
      <c r="S55" s="8"/>
      <c r="T55" s="8"/>
      <c r="U55" s="8"/>
      <c r="V55" s="8"/>
      <c r="W55" s="8"/>
      <c r="AH55" s="8"/>
      <c r="AI55" s="8"/>
      <c r="AJ55" s="8"/>
      <c r="AK55" s="8"/>
      <c r="BJ55" s="8"/>
      <c r="CG55" s="16">
        <v>9</v>
      </c>
      <c r="CH55" s="14" t="str">
        <f t="shared" si="167"/>
        <v>Hans Weber</v>
      </c>
      <c r="CI55" s="496">
        <f t="shared" si="168"/>
        <v>6</v>
      </c>
      <c r="CU55" s="13">
        <f t="shared" si="178"/>
        <v>1</v>
      </c>
      <c r="CV55" s="13">
        <f t="shared" si="169"/>
        <v>1</v>
      </c>
      <c r="CW55" s="13" t="str">
        <f t="shared" si="169"/>
        <v>Daniil Ivanov</v>
      </c>
      <c r="CX55" s="13">
        <f t="shared" si="169"/>
        <v>3</v>
      </c>
      <c r="CY55" s="13">
        <f t="shared" si="169"/>
        <v>3</v>
      </c>
      <c r="CZ55" s="13">
        <f t="shared" si="169"/>
        <v>3</v>
      </c>
      <c r="DC55" s="13">
        <f t="shared" si="179"/>
        <v>9</v>
      </c>
      <c r="DD55" s="243">
        <f t="shared" si="170"/>
        <v>3</v>
      </c>
      <c r="DE55" s="236">
        <f t="shared" si="180"/>
        <v>0.03</v>
      </c>
      <c r="DF55" s="232">
        <f t="shared" si="171"/>
        <v>0</v>
      </c>
      <c r="DG55" s="234">
        <f t="shared" si="181"/>
        <v>0</v>
      </c>
      <c r="DH55" s="232">
        <f t="shared" si="172"/>
        <v>0</v>
      </c>
      <c r="DI55" s="41">
        <f t="shared" si="182"/>
        <v>0</v>
      </c>
      <c r="DJ55" s="271">
        <f t="shared" si="173"/>
        <v>0</v>
      </c>
      <c r="DK55" s="273">
        <f t="shared" si="174"/>
        <v>0</v>
      </c>
      <c r="DL55" s="281">
        <f t="shared" si="183"/>
        <v>0</v>
      </c>
      <c r="DM55" s="644">
        <f t="shared" si="184"/>
        <v>5.8999999999999996E-7</v>
      </c>
      <c r="DN55" s="285">
        <f t="shared" si="175"/>
        <v>9.0299999999999994</v>
      </c>
      <c r="DO55" s="285">
        <f t="shared" si="176"/>
        <v>9.0299999999999994</v>
      </c>
      <c r="DP55" s="285">
        <f t="shared" si="177"/>
        <v>9.0300005900000002</v>
      </c>
      <c r="FL55" s="716"/>
      <c r="FM55" s="716"/>
      <c r="FN55"/>
      <c r="FO55"/>
      <c r="FP55"/>
      <c r="FQ55"/>
      <c r="FR55"/>
      <c r="FS55"/>
      <c r="FT55"/>
      <c r="FU55"/>
      <c r="FV55"/>
      <c r="FW55"/>
      <c r="FX55"/>
      <c r="FY55"/>
      <c r="FZ55"/>
      <c r="GA55"/>
      <c r="GB55"/>
      <c r="GC55"/>
      <c r="GD55"/>
      <c r="GE55"/>
      <c r="GF55"/>
      <c r="GG55"/>
      <c r="GW55" s="1145"/>
      <c r="GX55" s="231" t="str">
        <f>IF($AC$20="","",IF($JB$23=$GX$3,$JC$23,IF(AND($W$23=$GX$3,$AA$23&lt;&gt;""),$AA$23,IF(AND($W$23=$GX$3,$AA$23=""),$AB$23,""))))</f>
        <v/>
      </c>
      <c r="GY55" s="302">
        <v>37</v>
      </c>
      <c r="GZ55" s="303" t="str">
        <f t="shared" si="77"/>
        <v/>
      </c>
      <c r="HA55" s="98" t="str">
        <f t="shared" si="165"/>
        <v/>
      </c>
      <c r="HB55" s="303"/>
      <c r="HC55" s="98" t="str">
        <f t="shared" si="78"/>
        <v/>
      </c>
      <c r="HG55" s="1145"/>
      <c r="HH55" s="231" t="str">
        <f>IF($AC$20="","",IF($JB$23=$HH$3,$JC$23,IF(AND($W$23=$HH$3,$AA$23&lt;&gt;""),$AA$23,IF(AND($W$23=$HH$3,$AA$23=""),$AB$23,""))))</f>
        <v/>
      </c>
      <c r="HI55" s="302">
        <v>37</v>
      </c>
      <c r="HJ55" s="303" t="str">
        <f t="shared" si="79"/>
        <v/>
      </c>
      <c r="HK55" s="98" t="str">
        <f t="shared" si="166"/>
        <v/>
      </c>
      <c r="HL55" s="303"/>
      <c r="HM55" s="98" t="str">
        <f t="shared" si="70"/>
        <v/>
      </c>
    </row>
    <row r="56" spans="4:251" ht="12.75" customHeight="1">
      <c r="D56" s="8"/>
      <c r="E56" s="8"/>
      <c r="F56" s="8"/>
      <c r="G56" s="8"/>
      <c r="H56" s="8"/>
      <c r="M56" s="8"/>
      <c r="N56" s="8"/>
      <c r="S56" s="8"/>
      <c r="T56" s="8"/>
      <c r="U56" s="8"/>
      <c r="V56" s="8"/>
      <c r="W56" s="8"/>
      <c r="AH56" s="8"/>
      <c r="AI56" s="8"/>
      <c r="AJ56" s="8"/>
      <c r="AK56" s="8"/>
      <c r="BJ56" s="8"/>
      <c r="CG56" s="16">
        <v>10</v>
      </c>
      <c r="CH56" s="14" t="str">
        <f t="shared" si="167"/>
        <v>Antonin Klatovsky</v>
      </c>
      <c r="CI56" s="496">
        <f t="shared" si="168"/>
        <v>5</v>
      </c>
      <c r="CU56" s="13">
        <f t="shared" si="178"/>
        <v>9</v>
      </c>
      <c r="CV56" s="13">
        <f t="shared" si="169"/>
        <v>12</v>
      </c>
      <c r="CW56" s="13" t="str">
        <f t="shared" si="169"/>
        <v>Hans Weber</v>
      </c>
      <c r="CX56" s="13">
        <f t="shared" si="169"/>
        <v>0</v>
      </c>
      <c r="CY56" s="13">
        <f t="shared" si="169"/>
        <v>2</v>
      </c>
      <c r="CZ56" s="13">
        <f t="shared" si="169"/>
        <v>2</v>
      </c>
      <c r="DC56" s="13">
        <f t="shared" si="179"/>
        <v>4</v>
      </c>
      <c r="DD56" s="243">
        <f t="shared" si="170"/>
        <v>0</v>
      </c>
      <c r="DE56" s="236">
        <f t="shared" si="180"/>
        <v>0</v>
      </c>
      <c r="DF56" s="232">
        <f t="shared" si="171"/>
        <v>2</v>
      </c>
      <c r="DG56" s="234">
        <f t="shared" si="181"/>
        <v>2E-3</v>
      </c>
      <c r="DH56" s="232">
        <f t="shared" si="172"/>
        <v>0</v>
      </c>
      <c r="DI56" s="41">
        <f t="shared" si="182"/>
        <v>0</v>
      </c>
      <c r="DJ56" s="271">
        <f t="shared" si="173"/>
        <v>1</v>
      </c>
      <c r="DK56" s="273">
        <f t="shared" si="174"/>
        <v>1.0000000000000001E-5</v>
      </c>
      <c r="DL56" s="281">
        <f t="shared" si="183"/>
        <v>0</v>
      </c>
      <c r="DM56" s="643">
        <f t="shared" si="184"/>
        <v>4.7999999999999996E-7</v>
      </c>
      <c r="DN56" s="284">
        <f t="shared" si="175"/>
        <v>4.0020099999999994</v>
      </c>
      <c r="DO56" s="284">
        <f t="shared" si="176"/>
        <v>4.0020099999999994</v>
      </c>
      <c r="DP56" s="284">
        <f t="shared" si="177"/>
        <v>4.0020104799999991</v>
      </c>
      <c r="FL56" s="716"/>
      <c r="FM56" s="716"/>
      <c r="FN56"/>
      <c r="FO56"/>
      <c r="FP56"/>
      <c r="FQ56"/>
      <c r="FR56"/>
      <c r="FS56"/>
      <c r="FT56"/>
      <c r="FU56"/>
      <c r="FV56"/>
      <c r="FW56"/>
      <c r="FX56"/>
      <c r="FY56"/>
      <c r="FZ56"/>
      <c r="GA56"/>
      <c r="GB56"/>
      <c r="GC56"/>
      <c r="GD56"/>
      <c r="GE56"/>
      <c r="GF56"/>
      <c r="GG56"/>
      <c r="GW56" s="1143">
        <v>12</v>
      </c>
      <c r="GX56" s="229" t="str">
        <f>IF($AC$24="","",IF($JB$24=$GX$3,$JC$24,IF(AND($W$24=$GX$3,$AA$24&lt;&gt;""),$AA$24,IF(AND($W$24=$GX$3,$AA$24=""),$AB$24,""))))</f>
        <v/>
      </c>
      <c r="GY56" s="299">
        <v>36</v>
      </c>
      <c r="GZ56" s="300" t="str">
        <f t="shared" si="77"/>
        <v/>
      </c>
      <c r="HA56" s="93" t="str">
        <f t="shared" si="165"/>
        <v/>
      </c>
      <c r="HB56" s="300"/>
      <c r="HC56" s="93" t="str">
        <f t="shared" si="78"/>
        <v/>
      </c>
      <c r="HG56" s="1143">
        <v>12</v>
      </c>
      <c r="HH56" s="229" t="str">
        <f>IF($AC$24="","",IF($JB$24=$HH$3,$JC$24,IF(AND($W$24=$HH$3,$AA$24&lt;&gt;""),$AA$24,IF(AND($W$24=$HH$3,$AA$24=""),$AB$24,""))))</f>
        <v/>
      </c>
      <c r="HI56" s="299">
        <v>36</v>
      </c>
      <c r="HJ56" s="300" t="str">
        <f t="shared" si="79"/>
        <v/>
      </c>
      <c r="HK56" s="93" t="str">
        <f t="shared" si="166"/>
        <v/>
      </c>
      <c r="HL56" s="300"/>
      <c r="HM56" s="93" t="str">
        <f t="shared" si="70"/>
        <v/>
      </c>
    </row>
    <row r="57" spans="4:251" ht="12.75" customHeight="1">
      <c r="D57" s="8"/>
      <c r="E57" s="8"/>
      <c r="F57" s="8"/>
      <c r="G57" s="8"/>
      <c r="H57" s="8"/>
      <c r="M57" s="8"/>
      <c r="N57" s="8"/>
      <c r="S57" s="8"/>
      <c r="T57" s="8"/>
      <c r="U57" s="8"/>
      <c r="V57" s="8"/>
      <c r="W57" s="8"/>
      <c r="AH57" s="8"/>
      <c r="AI57" s="8"/>
      <c r="AJ57" s="8"/>
      <c r="AK57" s="8"/>
      <c r="BJ57" s="8"/>
      <c r="CG57" s="16">
        <v>11</v>
      </c>
      <c r="CH57" s="14" t="str">
        <f t="shared" si="167"/>
        <v>Daniel Henderson</v>
      </c>
      <c r="CI57" s="496">
        <f t="shared" si="168"/>
        <v>5</v>
      </c>
      <c r="CU57" s="13">
        <f t="shared" si="178"/>
        <v>11</v>
      </c>
      <c r="CV57" s="13">
        <f t="shared" si="169"/>
        <v>15</v>
      </c>
      <c r="CW57" s="13" t="str">
        <f t="shared" si="169"/>
        <v>Harald Simon</v>
      </c>
      <c r="CX57" s="13">
        <f t="shared" si="169"/>
        <v>1</v>
      </c>
      <c r="CY57" s="13">
        <f t="shared" si="169"/>
        <v>0</v>
      </c>
      <c r="CZ57" s="13">
        <f t="shared" si="169"/>
        <v>2</v>
      </c>
      <c r="DC57" s="13">
        <f t="shared" si="179"/>
        <v>3</v>
      </c>
      <c r="DD57" s="243">
        <f t="shared" si="170"/>
        <v>0</v>
      </c>
      <c r="DE57" s="236">
        <f t="shared" si="180"/>
        <v>0</v>
      </c>
      <c r="DF57" s="232">
        <f t="shared" si="171"/>
        <v>1</v>
      </c>
      <c r="DG57" s="234">
        <f t="shared" si="181"/>
        <v>1E-3</v>
      </c>
      <c r="DH57" s="232">
        <f t="shared" si="172"/>
        <v>1</v>
      </c>
      <c r="DI57" s="41">
        <f t="shared" si="182"/>
        <v>1E-4</v>
      </c>
      <c r="DJ57" s="271">
        <f t="shared" si="173"/>
        <v>1</v>
      </c>
      <c r="DK57" s="273">
        <f t="shared" si="174"/>
        <v>1.0000000000000001E-5</v>
      </c>
      <c r="DL57" s="281">
        <f t="shared" si="183"/>
        <v>0</v>
      </c>
      <c r="DM57" s="644">
        <f t="shared" si="184"/>
        <v>4.4999999999999998E-7</v>
      </c>
      <c r="DN57" s="285">
        <f t="shared" si="175"/>
        <v>3.0011100000000002</v>
      </c>
      <c r="DO57" s="285">
        <f t="shared" si="176"/>
        <v>3.0011100000000002</v>
      </c>
      <c r="DP57" s="285">
        <f t="shared" si="177"/>
        <v>3.0011104500000001</v>
      </c>
      <c r="FL57" s="716"/>
      <c r="FM57" s="716"/>
      <c r="FN57"/>
      <c r="FO57"/>
      <c r="FP57"/>
      <c r="FQ57"/>
      <c r="FR57"/>
      <c r="FS57"/>
      <c r="FT57"/>
      <c r="FU57"/>
      <c r="FV57"/>
      <c r="FW57"/>
      <c r="FX57"/>
      <c r="FY57"/>
      <c r="FZ57"/>
      <c r="GA57"/>
      <c r="GB57"/>
      <c r="GC57"/>
      <c r="GD57"/>
      <c r="GE57"/>
      <c r="GF57"/>
      <c r="GG57"/>
      <c r="GW57" s="1144"/>
      <c r="GX57" s="230" t="str">
        <f>IF($AC$24="","",IF($JB$25=$GX$3,$JC$25,IF(AND($W$25=$GX$3,$AA$25&lt;&gt;""),$AA$25,IF(AND($W$25=$GX$3,$AA$25=""),$AB$25,""))))</f>
        <v/>
      </c>
      <c r="GY57" s="301">
        <v>35</v>
      </c>
      <c r="GZ57" s="5" t="str">
        <f t="shared" si="77"/>
        <v/>
      </c>
      <c r="HA57" s="95" t="str">
        <f t="shared" si="165"/>
        <v/>
      </c>
      <c r="HB57" s="5"/>
      <c r="HC57" s="95" t="str">
        <f t="shared" si="78"/>
        <v/>
      </c>
      <c r="HG57" s="1144"/>
      <c r="HH57" s="230" t="str">
        <f>IF($AC$24="","",IF($JB$25=$HH$3,$JC$25,IF(AND($W$25=$HH$3,$AA$25&lt;&gt;""),$AA$25,IF(AND($W$25=$HH$3,$AA$25=""),$AB$25,""))))</f>
        <v/>
      </c>
      <c r="HI57" s="301">
        <v>35</v>
      </c>
      <c r="HJ57" s="5" t="str">
        <f t="shared" si="79"/>
        <v/>
      </c>
      <c r="HK57" s="95" t="str">
        <f t="shared" si="166"/>
        <v/>
      </c>
      <c r="HL57" s="5"/>
      <c r="HM57" s="95" t="str">
        <f t="shared" si="70"/>
        <v/>
      </c>
    </row>
    <row r="58" spans="4:251" ht="12.75" customHeight="1">
      <c r="D58" s="8"/>
      <c r="E58" s="8"/>
      <c r="F58" s="8"/>
      <c r="G58" s="8"/>
      <c r="H58" s="8"/>
      <c r="M58" s="8"/>
      <c r="N58" s="8"/>
      <c r="S58" s="8"/>
      <c r="T58" s="8"/>
      <c r="U58" s="8"/>
      <c r="V58" s="8"/>
      <c r="W58" s="8"/>
      <c r="AH58" s="8"/>
      <c r="AI58" s="8"/>
      <c r="AJ58" s="8"/>
      <c r="AK58" s="8"/>
      <c r="BJ58" s="8"/>
      <c r="CG58" s="16">
        <v>12</v>
      </c>
      <c r="CH58" s="14" t="str">
        <f t="shared" si="167"/>
        <v>Jan Klatovsky</v>
      </c>
      <c r="CI58" s="496">
        <f t="shared" si="168"/>
        <v>4</v>
      </c>
      <c r="CU58" s="13">
        <f t="shared" si="178"/>
        <v>6</v>
      </c>
      <c r="CV58" s="13">
        <f t="shared" si="169"/>
        <v>11</v>
      </c>
      <c r="CW58" s="13" t="str">
        <f t="shared" si="169"/>
        <v>Vitaly Khomitsevich</v>
      </c>
      <c r="CX58" s="13">
        <f t="shared" si="169"/>
        <v>2</v>
      </c>
      <c r="CY58" s="13">
        <f t="shared" si="169"/>
        <v>3</v>
      </c>
      <c r="CZ58" s="13">
        <f t="shared" si="169"/>
        <v>1</v>
      </c>
      <c r="DC58" s="13">
        <f t="shared" si="179"/>
        <v>6</v>
      </c>
      <c r="DD58" s="243">
        <f t="shared" si="170"/>
        <v>1</v>
      </c>
      <c r="DE58" s="236">
        <f t="shared" si="180"/>
        <v>0.01</v>
      </c>
      <c r="DF58" s="232">
        <f t="shared" si="171"/>
        <v>1</v>
      </c>
      <c r="DG58" s="234">
        <f t="shared" si="181"/>
        <v>1E-3</v>
      </c>
      <c r="DH58" s="232">
        <f t="shared" si="172"/>
        <v>1</v>
      </c>
      <c r="DI58" s="41">
        <f t="shared" si="182"/>
        <v>1E-4</v>
      </c>
      <c r="DJ58" s="271">
        <f t="shared" si="173"/>
        <v>0</v>
      </c>
      <c r="DK58" s="273">
        <f t="shared" si="174"/>
        <v>0</v>
      </c>
      <c r="DL58" s="281">
        <f t="shared" si="183"/>
        <v>0</v>
      </c>
      <c r="DM58" s="643">
        <f t="shared" si="184"/>
        <v>4.8999999999999997E-7</v>
      </c>
      <c r="DN58" s="284">
        <f t="shared" si="175"/>
        <v>6.0110999999999999</v>
      </c>
      <c r="DO58" s="284">
        <f t="shared" si="176"/>
        <v>6.0110999999999999</v>
      </c>
      <c r="DP58" s="284">
        <f t="shared" si="177"/>
        <v>6.0111004899999996</v>
      </c>
      <c r="FL58" s="716"/>
      <c r="FM58" s="716"/>
      <c r="FN58"/>
      <c r="FO58"/>
      <c r="FP58"/>
      <c r="FQ58"/>
      <c r="FR58"/>
      <c r="FS58"/>
      <c r="FT58"/>
      <c r="FU58"/>
      <c r="FV58"/>
      <c r="FW58"/>
      <c r="FX58"/>
      <c r="FY58"/>
      <c r="FZ58"/>
      <c r="GA58"/>
      <c r="GB58"/>
      <c r="GC58"/>
      <c r="GD58"/>
      <c r="GE58"/>
      <c r="GF58"/>
      <c r="GG58"/>
      <c r="GW58" s="1144"/>
      <c r="GX58" s="230" t="str">
        <f>IF($AC$24="","",IF($JB$26=$GX$3,$JC$26,IF(AND($W$26=$GX$3,$AA$26&lt;&gt;""),$AA$26,IF(AND($W$26=$GX$3,$AA$26=""),$AB$26,""))))</f>
        <v/>
      </c>
      <c r="GY58" s="301">
        <v>34</v>
      </c>
      <c r="GZ58" s="5" t="str">
        <f t="shared" si="77"/>
        <v/>
      </c>
      <c r="HA58" s="95" t="str">
        <f t="shared" si="165"/>
        <v/>
      </c>
      <c r="HB58" s="5"/>
      <c r="HC58" s="95" t="str">
        <f t="shared" si="78"/>
        <v/>
      </c>
      <c r="HG58" s="1144"/>
      <c r="HH58" s="230" t="str">
        <f>IF($AC$24="","",IF($JB$26=$HH$3,$JC$26,IF(AND($W$26=$HH$3,$AA$26&lt;&gt;""),$AA$26,IF(AND($W$26=$HH$3,$AA$26=""),$AB$26,""))))</f>
        <v/>
      </c>
      <c r="HI58" s="301">
        <v>34</v>
      </c>
      <c r="HJ58" s="5" t="str">
        <f t="shared" si="79"/>
        <v/>
      </c>
      <c r="HK58" s="95" t="str">
        <f t="shared" si="166"/>
        <v/>
      </c>
      <c r="HL58" s="5"/>
      <c r="HM58" s="95" t="str">
        <f t="shared" si="70"/>
        <v/>
      </c>
    </row>
    <row r="59" spans="4:251" ht="12.75" customHeight="1" thickBot="1">
      <c r="D59" s="8"/>
      <c r="E59" s="8"/>
      <c r="F59" s="8"/>
      <c r="G59" s="8"/>
      <c r="H59" s="8"/>
      <c r="M59" s="8"/>
      <c r="N59" s="8"/>
      <c r="S59" s="8"/>
      <c r="T59" s="8"/>
      <c r="U59" s="8"/>
      <c r="V59" s="8"/>
      <c r="W59" s="8"/>
      <c r="AH59" s="8"/>
      <c r="AI59" s="8"/>
      <c r="AJ59" s="8"/>
      <c r="AK59" s="8"/>
      <c r="BJ59" s="8"/>
      <c r="CG59" s="16">
        <v>13</v>
      </c>
      <c r="CH59" s="14" t="str">
        <f t="shared" si="167"/>
        <v>Harald Simon</v>
      </c>
      <c r="CI59" s="496">
        <f t="shared" si="168"/>
        <v>4</v>
      </c>
      <c r="CU59" s="13">
        <f t="shared" si="178"/>
        <v>10</v>
      </c>
      <c r="CV59" s="13">
        <f t="shared" si="169"/>
        <v>19</v>
      </c>
      <c r="CW59" s="13" t="str">
        <f t="shared" si="169"/>
        <v>Daniel Henderson</v>
      </c>
      <c r="CX59" s="13">
        <f t="shared" si="169"/>
        <v>1</v>
      </c>
      <c r="CY59" s="13">
        <f t="shared" si="169"/>
        <v>2</v>
      </c>
      <c r="CZ59" s="13">
        <f t="shared" si="169"/>
        <v>1</v>
      </c>
      <c r="DC59" s="13">
        <f t="shared" si="179"/>
        <v>4</v>
      </c>
      <c r="DD59" s="243">
        <f t="shared" si="170"/>
        <v>0</v>
      </c>
      <c r="DE59" s="236">
        <f t="shared" si="180"/>
        <v>0</v>
      </c>
      <c r="DF59" s="232">
        <f t="shared" si="171"/>
        <v>1</v>
      </c>
      <c r="DG59" s="234">
        <f t="shared" si="181"/>
        <v>1E-3</v>
      </c>
      <c r="DH59" s="232">
        <f t="shared" si="172"/>
        <v>2</v>
      </c>
      <c r="DI59" s="41">
        <f t="shared" si="182"/>
        <v>2.0000000000000001E-4</v>
      </c>
      <c r="DJ59" s="271">
        <f t="shared" si="173"/>
        <v>0</v>
      </c>
      <c r="DK59" s="273">
        <f t="shared" si="174"/>
        <v>0</v>
      </c>
      <c r="DL59" s="281">
        <f t="shared" si="183"/>
        <v>0</v>
      </c>
      <c r="DM59" s="644">
        <f t="shared" si="184"/>
        <v>4.0999999999999999E-7</v>
      </c>
      <c r="DN59" s="285">
        <f t="shared" si="175"/>
        <v>4.0012000000000008</v>
      </c>
      <c r="DO59" s="285">
        <f t="shared" si="176"/>
        <v>4.0012000000000008</v>
      </c>
      <c r="DP59" s="285">
        <f t="shared" si="177"/>
        <v>4.0012004100000009</v>
      </c>
      <c r="FL59" s="716"/>
      <c r="FM59" s="716"/>
      <c r="FN59"/>
      <c r="FO59"/>
      <c r="FP59"/>
      <c r="FQ59"/>
      <c r="FR59"/>
      <c r="FS59"/>
      <c r="FT59"/>
      <c r="FU59"/>
      <c r="FV59"/>
      <c r="FW59"/>
      <c r="FX59"/>
      <c r="FY59"/>
      <c r="FZ59"/>
      <c r="GA59"/>
      <c r="GB59"/>
      <c r="GC59"/>
      <c r="GD59"/>
      <c r="GE59"/>
      <c r="GF59"/>
      <c r="GG59"/>
      <c r="GW59" s="1145"/>
      <c r="GX59" s="231" t="str">
        <f>IF($AC$24="","",IF($JB$27=$GX$3,$JC$27,IF(AND($W$27=$GX$3,$AA$27&lt;&gt;""),$AA$27,IF(AND($W$27=$GX$3,$AA$27=""),$AB$27,""))))</f>
        <v/>
      </c>
      <c r="GY59" s="302">
        <v>33</v>
      </c>
      <c r="GZ59" s="303" t="str">
        <f t="shared" si="77"/>
        <v/>
      </c>
      <c r="HA59" s="98" t="str">
        <f t="shared" si="165"/>
        <v/>
      </c>
      <c r="HB59" s="303"/>
      <c r="HC59" s="98" t="str">
        <f t="shared" si="78"/>
        <v/>
      </c>
      <c r="HG59" s="1145"/>
      <c r="HH59" s="231" t="str">
        <f>IF($AC$24="","",IF($JB$27=$HH$3,$JC$27,IF(AND($W$27=$HH$3,$AA$27&lt;&gt;""),$AA$27,IF(AND($W$27=$HH$3,$AA$27=""),$AB$27,""))))</f>
        <v/>
      </c>
      <c r="HI59" s="302">
        <v>33</v>
      </c>
      <c r="HJ59" s="303" t="str">
        <f t="shared" si="79"/>
        <v/>
      </c>
      <c r="HK59" s="98" t="str">
        <f t="shared" si="166"/>
        <v/>
      </c>
      <c r="HL59" s="303"/>
      <c r="HM59" s="98" t="str">
        <f t="shared" si="70"/>
        <v/>
      </c>
    </row>
    <row r="60" spans="4:251" ht="12.75" customHeight="1">
      <c r="D60" s="8"/>
      <c r="E60" s="8"/>
      <c r="F60" s="8"/>
      <c r="G60" s="8"/>
      <c r="H60" s="8"/>
      <c r="M60" s="8"/>
      <c r="N60" s="8"/>
      <c r="S60" s="8"/>
      <c r="T60" s="8"/>
      <c r="U60" s="8"/>
      <c r="V60" s="8"/>
      <c r="W60" s="8"/>
      <c r="AH60" s="8"/>
      <c r="AI60" s="8"/>
      <c r="AJ60" s="8"/>
      <c r="AK60" s="8"/>
      <c r="BJ60" s="8"/>
      <c r="CG60" s="16">
        <v>14</v>
      </c>
      <c r="CH60" s="14" t="str">
        <f t="shared" si="167"/>
        <v>Per-Anders Lindstrom</v>
      </c>
      <c r="CI60" s="496">
        <f t="shared" si="168"/>
        <v>2</v>
      </c>
      <c r="CU60" s="13">
        <f t="shared" si="178"/>
        <v>15</v>
      </c>
      <c r="CV60" s="13">
        <f t="shared" si="169"/>
        <v>8</v>
      </c>
      <c r="CW60" s="13" t="str">
        <f t="shared" si="169"/>
        <v>Stefan Pletschacher</v>
      </c>
      <c r="CX60" s="13">
        <f t="shared" si="169"/>
        <v>0</v>
      </c>
      <c r="CY60" s="13">
        <f t="shared" si="169"/>
        <v>1</v>
      </c>
      <c r="CZ60" s="13">
        <f t="shared" si="169"/>
        <v>0</v>
      </c>
      <c r="DC60" s="13">
        <f t="shared" si="179"/>
        <v>1</v>
      </c>
      <c r="DD60" s="243">
        <f t="shared" si="170"/>
        <v>0</v>
      </c>
      <c r="DE60" s="236">
        <f t="shared" si="180"/>
        <v>0</v>
      </c>
      <c r="DF60" s="232">
        <f t="shared" si="171"/>
        <v>0</v>
      </c>
      <c r="DG60" s="234">
        <f t="shared" si="181"/>
        <v>0</v>
      </c>
      <c r="DH60" s="232">
        <f t="shared" si="172"/>
        <v>1</v>
      </c>
      <c r="DI60" s="41">
        <f t="shared" si="182"/>
        <v>1E-4</v>
      </c>
      <c r="DJ60" s="271">
        <f t="shared" si="173"/>
        <v>2</v>
      </c>
      <c r="DK60" s="273">
        <f t="shared" si="174"/>
        <v>2.0000000000000002E-5</v>
      </c>
      <c r="DL60" s="281">
        <f t="shared" si="183"/>
        <v>0</v>
      </c>
      <c r="DM60" s="643">
        <f t="shared" si="184"/>
        <v>5.2E-7</v>
      </c>
      <c r="DN60" s="284">
        <f t="shared" si="175"/>
        <v>1.0001199999999999</v>
      </c>
      <c r="DO60" s="284">
        <f t="shared" si="176"/>
        <v>1.0001199999999999</v>
      </c>
      <c r="DP60" s="284">
        <f t="shared" si="177"/>
        <v>1.0001205199999998</v>
      </c>
      <c r="FL60" s="716"/>
      <c r="FM60" s="716"/>
      <c r="FN60"/>
      <c r="FO60"/>
      <c r="FP60"/>
      <c r="FQ60"/>
      <c r="FR60"/>
      <c r="FS60"/>
      <c r="FT60"/>
      <c r="FU60"/>
      <c r="FV60"/>
      <c r="FW60"/>
      <c r="FX60"/>
      <c r="FY60"/>
      <c r="FZ60"/>
      <c r="GA60"/>
      <c r="GB60"/>
      <c r="GC60"/>
      <c r="GD60"/>
      <c r="GE60"/>
      <c r="GF60"/>
      <c r="GG60"/>
      <c r="GW60" s="1143">
        <v>13</v>
      </c>
      <c r="GX60" s="229" t="str">
        <f>IF($AC$28="","",IF($JB$28=$GX$3,$JC$28,IF(AND($W$28=$GX$3,$AA$28&lt;&gt;""),$AA$28,IF(AND($W$28=$GX$3,$AA$28=""),$AB$28,""))))</f>
        <v/>
      </c>
      <c r="GY60" s="299">
        <v>32</v>
      </c>
      <c r="GZ60" s="300" t="str">
        <f t="shared" si="77"/>
        <v/>
      </c>
      <c r="HA60" s="93" t="str">
        <f t="shared" si="165"/>
        <v/>
      </c>
      <c r="HB60" s="300"/>
      <c r="HC60" s="93" t="str">
        <f t="shared" si="78"/>
        <v/>
      </c>
      <c r="HG60" s="1143">
        <v>13</v>
      </c>
      <c r="HH60" s="229" t="str">
        <f>IF($AC$28="","",IF($JB$28=$HH$3,$JC$28,IF(AND($W$28=$HH$3,$AA$28&lt;&gt;""),$AA$28,IF(AND($W$28=$HH$3,$AA$28=""),$AB$28,""))))</f>
        <v/>
      </c>
      <c r="HI60" s="299">
        <v>32</v>
      </c>
      <c r="HJ60" s="300" t="str">
        <f t="shared" si="79"/>
        <v/>
      </c>
      <c r="HK60" s="93" t="str">
        <f t="shared" si="166"/>
        <v/>
      </c>
      <c r="HL60" s="300"/>
      <c r="HM60" s="93" t="str">
        <f t="shared" si="70"/>
        <v/>
      </c>
    </row>
    <row r="61" spans="4:251" ht="12.75" customHeight="1">
      <c r="D61" s="8"/>
      <c r="E61" s="8"/>
      <c r="F61" s="8"/>
      <c r="G61" s="8"/>
      <c r="H61" s="8"/>
      <c r="M61" s="8"/>
      <c r="N61" s="8"/>
      <c r="S61" s="8"/>
      <c r="T61" s="8"/>
      <c r="U61" s="8"/>
      <c r="V61" s="8"/>
      <c r="W61" s="8"/>
      <c r="AH61" s="8"/>
      <c r="AI61" s="8"/>
      <c r="AJ61" s="8"/>
      <c r="AK61" s="8"/>
      <c r="BJ61" s="8"/>
      <c r="CG61" s="16">
        <v>15</v>
      </c>
      <c r="CH61" s="14" t="str">
        <f t="shared" si="167"/>
        <v>Stefan Pletschacher</v>
      </c>
      <c r="CI61" s="496">
        <f t="shared" si="168"/>
        <v>2</v>
      </c>
      <c r="CU61" s="13">
        <f t="shared" si="178"/>
        <v>2</v>
      </c>
      <c r="CV61" s="13">
        <f t="shared" ref="CV61:CZ64" si="185">CV41</f>
        <v>2</v>
      </c>
      <c r="CW61" s="13" t="str">
        <f t="shared" si="185"/>
        <v>Dimitry Koltakov</v>
      </c>
      <c r="CX61" s="13">
        <f t="shared" si="185"/>
        <v>3</v>
      </c>
      <c r="CY61" s="13">
        <f t="shared" si="185"/>
        <v>3</v>
      </c>
      <c r="CZ61" s="13">
        <f t="shared" si="185"/>
        <v>3</v>
      </c>
      <c r="DC61" s="13">
        <f t="shared" si="179"/>
        <v>9</v>
      </c>
      <c r="DD61" s="243">
        <f t="shared" si="170"/>
        <v>3</v>
      </c>
      <c r="DE61" s="236">
        <f t="shared" si="180"/>
        <v>0.03</v>
      </c>
      <c r="DF61" s="232">
        <f t="shared" si="171"/>
        <v>0</v>
      </c>
      <c r="DG61" s="234">
        <f t="shared" si="181"/>
        <v>0</v>
      </c>
      <c r="DH61" s="232">
        <f t="shared" si="172"/>
        <v>0</v>
      </c>
      <c r="DI61" s="41">
        <f t="shared" si="182"/>
        <v>0</v>
      </c>
      <c r="DJ61" s="271">
        <f t="shared" si="173"/>
        <v>0</v>
      </c>
      <c r="DK61" s="273">
        <f t="shared" si="174"/>
        <v>0</v>
      </c>
      <c r="DL61" s="281">
        <f t="shared" si="183"/>
        <v>0</v>
      </c>
      <c r="DM61" s="644">
        <f t="shared" si="184"/>
        <v>5.7999999999999995E-7</v>
      </c>
      <c r="DN61" s="285">
        <f t="shared" si="175"/>
        <v>9.0299999999999994</v>
      </c>
      <c r="DO61" s="285">
        <f t="shared" si="176"/>
        <v>9.0299999999999994</v>
      </c>
      <c r="DP61" s="285">
        <f t="shared" si="177"/>
        <v>9.0300005799999994</v>
      </c>
      <c r="GW61" s="1144"/>
      <c r="GX61" s="230" t="str">
        <f>IF($AC$28="","",IF($JB$29=$GX$3,$JC$29,IF(AND($W$29=$GX$3,$AA$29&lt;&gt;""),$AA$29,IF(AND($W$29=$GX$3,$AA$29=""),$AB$29,""))))</f>
        <v/>
      </c>
      <c r="GY61" s="301">
        <v>31</v>
      </c>
      <c r="GZ61" s="5" t="str">
        <f t="shared" si="77"/>
        <v/>
      </c>
      <c r="HA61" s="95" t="str">
        <f t="shared" si="165"/>
        <v/>
      </c>
      <c r="HB61" s="5"/>
      <c r="HC61" s="95" t="str">
        <f t="shared" si="78"/>
        <v/>
      </c>
      <c r="HG61" s="1144"/>
      <c r="HH61" s="230" t="str">
        <f>IF($AC$28="","",IF($JB$29=$HH$3,$JC$29,IF(AND($W$29=$HH$3,$AA$29&lt;&gt;""),$AA$29,IF(AND($W$29=$HH$3,$AA$29=""),$AB$29,""))))</f>
        <v/>
      </c>
      <c r="HI61" s="301">
        <v>31</v>
      </c>
      <c r="HJ61" s="5" t="str">
        <f t="shared" si="79"/>
        <v/>
      </c>
      <c r="HK61" s="95" t="str">
        <f t="shared" si="166"/>
        <v/>
      </c>
      <c r="HL61" s="5"/>
      <c r="HM61" s="95" t="str">
        <f t="shared" si="70"/>
        <v/>
      </c>
    </row>
    <row r="62" spans="4:251" ht="12.75" customHeight="1">
      <c r="D62" s="8"/>
      <c r="E62" s="8"/>
      <c r="F62" s="8"/>
      <c r="G62" s="8"/>
      <c r="H62" s="8"/>
      <c r="M62" s="8"/>
      <c r="N62" s="8"/>
      <c r="S62" s="8"/>
      <c r="T62" s="8"/>
      <c r="U62" s="8"/>
      <c r="V62" s="8"/>
      <c r="W62" s="8"/>
      <c r="AH62" s="8"/>
      <c r="AI62" s="8"/>
      <c r="AJ62" s="8"/>
      <c r="AK62" s="8"/>
      <c r="BJ62" s="8"/>
      <c r="CG62" s="16">
        <v>16</v>
      </c>
      <c r="CH62" s="14" t="str">
        <f t="shared" si="167"/>
        <v>Simon Reitsma</v>
      </c>
      <c r="CI62" s="496">
        <f t="shared" si="168"/>
        <v>0</v>
      </c>
      <c r="CU62" s="13">
        <f t="shared" si="178"/>
        <v>5</v>
      </c>
      <c r="CV62" s="13">
        <f t="shared" si="185"/>
        <v>5</v>
      </c>
      <c r="CW62" s="13" t="str">
        <f t="shared" si="185"/>
        <v>Stefan Svensson</v>
      </c>
      <c r="CX62" s="13">
        <f t="shared" si="185"/>
        <v>2</v>
      </c>
      <c r="CY62" s="13">
        <f t="shared" si="185"/>
        <v>1</v>
      </c>
      <c r="CZ62" s="13">
        <f t="shared" si="185"/>
        <v>3</v>
      </c>
      <c r="DC62" s="13">
        <f t="shared" si="179"/>
        <v>6</v>
      </c>
      <c r="DD62" s="243">
        <f t="shared" si="170"/>
        <v>1</v>
      </c>
      <c r="DE62" s="236">
        <f t="shared" si="180"/>
        <v>0.01</v>
      </c>
      <c r="DF62" s="232">
        <f t="shared" si="171"/>
        <v>1</v>
      </c>
      <c r="DG62" s="234">
        <f t="shared" si="181"/>
        <v>1E-3</v>
      </c>
      <c r="DH62" s="232">
        <f t="shared" si="172"/>
        <v>1</v>
      </c>
      <c r="DI62" s="41">
        <f t="shared" si="182"/>
        <v>1E-4</v>
      </c>
      <c r="DJ62" s="271">
        <f t="shared" si="173"/>
        <v>0</v>
      </c>
      <c r="DK62" s="273">
        <f t="shared" si="174"/>
        <v>0</v>
      </c>
      <c r="DL62" s="281">
        <f t="shared" si="183"/>
        <v>0</v>
      </c>
      <c r="DM62" s="643">
        <f t="shared" si="184"/>
        <v>5.5000000000000003E-7</v>
      </c>
      <c r="DN62" s="284">
        <f t="shared" si="175"/>
        <v>6.0110999999999999</v>
      </c>
      <c r="DO62" s="284">
        <f t="shared" si="176"/>
        <v>6.0110999999999999</v>
      </c>
      <c r="DP62" s="284">
        <f t="shared" si="177"/>
        <v>6.0111005500000001</v>
      </c>
      <c r="GW62" s="1144"/>
      <c r="GX62" s="230" t="str">
        <f>IF($AC$28="","",IF($JB$30=$GX$3,$JC$30,IF(AND($W$30=$GX$3,$AA$30&lt;&gt;""),$AA$30,IF(AND($W$30=$GX$3,$AA$30=""),$AB$30,""))))</f>
        <v/>
      </c>
      <c r="GY62" s="301">
        <v>30</v>
      </c>
      <c r="GZ62" s="5" t="str">
        <f t="shared" si="77"/>
        <v/>
      </c>
      <c r="HA62" s="95" t="str">
        <f t="shared" si="165"/>
        <v/>
      </c>
      <c r="HB62" s="5"/>
      <c r="HC62" s="95" t="str">
        <f t="shared" si="78"/>
        <v/>
      </c>
      <c r="HG62" s="1144"/>
      <c r="HH62" s="230" t="str">
        <f>IF($AC$28="","",IF($JB$30=$HH$3,$JC$30,IF(AND($W$30=$HH$3,$AA$30&lt;&gt;""),$AA$30,IF(AND($W$30=$HH$3,$AA$30=""),$AB$30,""))))</f>
        <v/>
      </c>
      <c r="HI62" s="301">
        <v>30</v>
      </c>
      <c r="HJ62" s="5" t="str">
        <f t="shared" si="79"/>
        <v/>
      </c>
      <c r="HK62" s="95" t="str">
        <f t="shared" si="166"/>
        <v/>
      </c>
      <c r="HL62" s="5"/>
      <c r="HM62" s="95" t="str">
        <f t="shared" si="70"/>
        <v/>
      </c>
    </row>
    <row r="63" spans="4:251" ht="12.75" customHeight="1" thickBot="1">
      <c r="D63" s="8"/>
      <c r="E63" s="8"/>
      <c r="F63" s="8"/>
      <c r="G63" s="8"/>
      <c r="H63" s="8"/>
      <c r="M63" s="8"/>
      <c r="N63" s="8"/>
      <c r="S63" s="8"/>
      <c r="T63" s="8"/>
      <c r="U63" s="8"/>
      <c r="V63" s="8"/>
      <c r="W63" s="8"/>
      <c r="AH63" s="8"/>
      <c r="AI63" s="8"/>
      <c r="AJ63" s="8"/>
      <c r="AK63" s="8"/>
      <c r="BJ63" s="8"/>
      <c r="CG63" s="16">
        <v>17</v>
      </c>
      <c r="CH63" s="14" t="str">
        <f t="shared" si="167"/>
        <v>Rene Stellingwerf</v>
      </c>
      <c r="CI63" s="496">
        <f t="shared" si="168"/>
        <v>0</v>
      </c>
      <c r="CU63" s="13">
        <f t="shared" si="178"/>
        <v>16</v>
      </c>
      <c r="CV63" s="13">
        <f t="shared" si="185"/>
        <v>17</v>
      </c>
      <c r="CW63" s="13" t="str">
        <f t="shared" si="185"/>
        <v>Simon Reitsma</v>
      </c>
      <c r="CX63" s="13">
        <f t="shared" si="185"/>
        <v>0</v>
      </c>
      <c r="CY63" s="13">
        <f t="shared" si="185"/>
        <v>0</v>
      </c>
      <c r="CZ63" s="13">
        <f t="shared" si="185"/>
        <v>0</v>
      </c>
      <c r="DC63" s="13">
        <f t="shared" si="179"/>
        <v>0</v>
      </c>
      <c r="DD63" s="243">
        <f t="shared" si="170"/>
        <v>0</v>
      </c>
      <c r="DE63" s="236">
        <f t="shared" si="180"/>
        <v>0</v>
      </c>
      <c r="DF63" s="232">
        <f t="shared" si="171"/>
        <v>0</v>
      </c>
      <c r="DG63" s="234">
        <f t="shared" si="181"/>
        <v>0</v>
      </c>
      <c r="DH63" s="232">
        <f t="shared" si="172"/>
        <v>0</v>
      </c>
      <c r="DI63" s="41">
        <f t="shared" si="182"/>
        <v>0</v>
      </c>
      <c r="DJ63" s="271">
        <f t="shared" si="173"/>
        <v>3</v>
      </c>
      <c r="DK63" s="273">
        <f t="shared" si="174"/>
        <v>3.0000000000000001E-5</v>
      </c>
      <c r="DL63" s="281">
        <f t="shared" si="183"/>
        <v>0</v>
      </c>
      <c r="DM63" s="644">
        <f t="shared" si="184"/>
        <v>4.3000000000000001E-7</v>
      </c>
      <c r="DN63" s="285">
        <f t="shared" si="175"/>
        <v>3.0000000000000001E-5</v>
      </c>
      <c r="DO63" s="285">
        <f t="shared" si="176"/>
        <v>3.0000000000000001E-5</v>
      </c>
      <c r="DP63" s="285">
        <f t="shared" si="177"/>
        <v>3.0430000000000002E-5</v>
      </c>
      <c r="GW63" s="1145"/>
      <c r="GX63" s="231" t="str">
        <f>IF($AC$28="","",IF($JB$31=$GX$3,$JC$31,IF(AND($W$31=$GX$3,$AA$31&lt;&gt;""),$AA$31,IF(AND($W$31=$GX$3,$AA$31=""),$AB$31,""))))</f>
        <v/>
      </c>
      <c r="GY63" s="302">
        <v>29</v>
      </c>
      <c r="GZ63" s="303" t="str">
        <f t="shared" si="77"/>
        <v/>
      </c>
      <c r="HA63" s="98" t="str">
        <f t="shared" si="165"/>
        <v/>
      </c>
      <c r="HB63" s="303"/>
      <c r="HC63" s="98" t="str">
        <f t="shared" si="78"/>
        <v/>
      </c>
      <c r="HG63" s="1145"/>
      <c r="HH63" s="231" t="str">
        <f>IF($AC$28="","",IF($JB$31=$HH$3,$JC$31,IF(AND($W$31=$HH$3,$AA$31&lt;&gt;""),$AA$31,IF(AND($W$31=$HH$3,$AA$31=""),$AB$31,""))))</f>
        <v/>
      </c>
      <c r="HI63" s="302">
        <v>29</v>
      </c>
      <c r="HJ63" s="303" t="str">
        <f t="shared" si="79"/>
        <v/>
      </c>
      <c r="HK63" s="98" t="str">
        <f t="shared" si="166"/>
        <v/>
      </c>
      <c r="HL63" s="303"/>
      <c r="HM63" s="98" t="str">
        <f t="shared" si="70"/>
        <v/>
      </c>
    </row>
    <row r="64" spans="4:251" ht="12.75" customHeight="1" thickBot="1">
      <c r="D64" s="8"/>
      <c r="E64" s="8"/>
      <c r="F64" s="8"/>
      <c r="G64" s="8"/>
      <c r="H64" s="8"/>
      <c r="M64" s="8"/>
      <c r="N64" s="8"/>
      <c r="S64" s="8"/>
      <c r="T64" s="8"/>
      <c r="U64" s="8"/>
      <c r="V64" s="8"/>
      <c r="W64" s="8"/>
      <c r="AH64" s="8"/>
      <c r="AI64" s="8"/>
      <c r="AJ64" s="8"/>
      <c r="AK64" s="8"/>
      <c r="BJ64" s="8"/>
      <c r="CG64" s="16">
        <v>18</v>
      </c>
      <c r="CH64" s="14" t="str">
        <f t="shared" si="167"/>
        <v>Max Niedermaier</v>
      </c>
      <c r="CI64" s="496">
        <f t="shared" si="168"/>
        <v>0</v>
      </c>
      <c r="CU64" s="13">
        <f t="shared" si="178"/>
        <v>18</v>
      </c>
      <c r="CV64" s="13">
        <f t="shared" si="185"/>
        <v>18</v>
      </c>
      <c r="CW64" s="13" t="str">
        <f t="shared" si="185"/>
        <v>Max Niedermaier</v>
      </c>
      <c r="CX64" s="13" t="str">
        <f t="shared" si="185"/>
        <v/>
      </c>
      <c r="CY64" s="13" t="str">
        <f t="shared" si="185"/>
        <v/>
      </c>
      <c r="CZ64" s="13" t="str">
        <f t="shared" si="185"/>
        <v/>
      </c>
      <c r="DC64" s="13">
        <f t="shared" si="179"/>
        <v>0</v>
      </c>
      <c r="DD64" s="61">
        <f t="shared" si="170"/>
        <v>0</v>
      </c>
      <c r="DE64" s="237">
        <f t="shared" si="180"/>
        <v>0</v>
      </c>
      <c r="DF64" s="233">
        <f t="shared" si="171"/>
        <v>0</v>
      </c>
      <c r="DG64" s="235">
        <f t="shared" si="181"/>
        <v>0</v>
      </c>
      <c r="DH64" s="233">
        <f t="shared" si="172"/>
        <v>0</v>
      </c>
      <c r="DI64" s="241">
        <f t="shared" si="182"/>
        <v>0</v>
      </c>
      <c r="DJ64" s="272">
        <f t="shared" si="173"/>
        <v>0</v>
      </c>
      <c r="DK64" s="274">
        <f t="shared" si="174"/>
        <v>0</v>
      </c>
      <c r="DL64" s="282">
        <f t="shared" si="183"/>
        <v>0</v>
      </c>
      <c r="DM64" s="645">
        <f t="shared" si="184"/>
        <v>4.2E-7</v>
      </c>
      <c r="DN64" s="286">
        <f t="shared" si="175"/>
        <v>0</v>
      </c>
      <c r="DO64" s="286">
        <f t="shared" si="176"/>
        <v>0</v>
      </c>
      <c r="DP64" s="286">
        <f t="shared" si="177"/>
        <v>4.2E-7</v>
      </c>
      <c r="GW64" s="1143">
        <v>14</v>
      </c>
      <c r="GX64" s="229" t="str">
        <f>IF($AC$32="","",IF($JB$32=$GX$3,$JC$32,IF(AND($W$32=$GX$3,$AA$32&lt;&gt;""),$AA$32,IF(AND($W$32=$GX$3,$AA$32=""),$AB$32,""))))</f>
        <v/>
      </c>
      <c r="GY64" s="299">
        <v>28</v>
      </c>
      <c r="GZ64" s="300" t="str">
        <f t="shared" si="77"/>
        <v/>
      </c>
      <c r="HA64" s="93" t="str">
        <f t="shared" si="165"/>
        <v/>
      </c>
      <c r="HB64" s="300"/>
      <c r="HC64" s="93" t="str">
        <f t="shared" si="78"/>
        <v/>
      </c>
      <c r="HG64" s="1143">
        <v>14</v>
      </c>
      <c r="HH64" s="229" t="str">
        <f>IF($AC$32="","",IF($JB$32=$HH$3,$JC$32,IF(AND($W$32=$HH$3,$AA$32&lt;&gt;""),$AA$32,IF(AND($W$32=$HH$3,$AA$32=""),$AB$32,""))))</f>
        <v/>
      </c>
      <c r="HI64" s="299">
        <v>28</v>
      </c>
      <c r="HJ64" s="300" t="str">
        <f t="shared" si="79"/>
        <v/>
      </c>
      <c r="HK64" s="93" t="str">
        <f t="shared" si="166"/>
        <v/>
      </c>
      <c r="HL64" s="300"/>
      <c r="HM64" s="93" t="str">
        <f t="shared" si="70"/>
        <v/>
      </c>
    </row>
    <row r="65" spans="4:221" ht="12.75" customHeight="1">
      <c r="D65" s="8"/>
      <c r="E65" s="8"/>
      <c r="F65" s="8"/>
      <c r="G65" s="8"/>
      <c r="H65" s="8"/>
      <c r="M65" s="8"/>
      <c r="N65" s="8"/>
      <c r="S65" s="8"/>
      <c r="T65" s="8"/>
      <c r="U65" s="8"/>
      <c r="V65" s="8"/>
      <c r="W65" s="8"/>
      <c r="AH65" s="8"/>
      <c r="AI65" s="8"/>
      <c r="AJ65" s="8"/>
      <c r="AK65" s="8"/>
      <c r="BJ65" s="8"/>
      <c r="BY65" s="8"/>
      <c r="BZ65" s="8"/>
      <c r="CC65" s="8"/>
      <c r="CD65" s="8"/>
      <c r="CE65" s="8"/>
      <c r="CF65" s="8"/>
      <c r="EZ65" s="1187" t="s">
        <v>156</v>
      </c>
      <c r="FA65" s="1188"/>
      <c r="FB65" s="1188"/>
      <c r="FC65" s="1188"/>
      <c r="FD65" s="1188"/>
      <c r="FE65" s="1188"/>
      <c r="FF65" s="1189"/>
      <c r="GW65" s="1144"/>
      <c r="GX65" s="230" t="str">
        <f>IF($AC$32="","",IF($JB$33=$GX$3,$JC$33,IF(AND($W$33=$GX$3,$AA$33&lt;&gt;""),$AA$33,IF(AND($W$33=$GX$3,$AA$33=""),$AB$33,""))))</f>
        <v/>
      </c>
      <c r="GY65" s="301">
        <v>27</v>
      </c>
      <c r="GZ65" s="5" t="str">
        <f t="shared" si="77"/>
        <v/>
      </c>
      <c r="HA65" s="95" t="str">
        <f t="shared" si="165"/>
        <v/>
      </c>
      <c r="HB65" s="5"/>
      <c r="HC65" s="95" t="str">
        <f t="shared" si="78"/>
        <v/>
      </c>
      <c r="HG65" s="1144"/>
      <c r="HH65" s="230" t="str">
        <f>IF($AC$32="","",IF($JB$33=$HH$3,$JC$33,IF(AND($W$33=$HH$3,$AA$33&lt;&gt;""),$AA$33,IF(AND($W$33=$HH$3,$AA$33=""),$AB$33,""))))</f>
        <v/>
      </c>
      <c r="HI65" s="301">
        <v>27</v>
      </c>
      <c r="HJ65" s="5" t="str">
        <f t="shared" si="79"/>
        <v/>
      </c>
      <c r="HK65" s="95" t="str">
        <f t="shared" si="166"/>
        <v/>
      </c>
      <c r="HL65" s="5"/>
      <c r="HM65" s="95" t="str">
        <f t="shared" si="70"/>
        <v/>
      </c>
    </row>
    <row r="66" spans="4:221" ht="12.75" customHeight="1">
      <c r="D66" s="8"/>
      <c r="E66" s="8"/>
      <c r="F66" s="8"/>
      <c r="G66" s="8"/>
      <c r="H66" s="8"/>
      <c r="M66" s="8"/>
      <c r="N66" s="8"/>
      <c r="S66" s="8"/>
      <c r="T66" s="8"/>
      <c r="U66" s="8"/>
      <c r="V66" s="8"/>
      <c r="W66" s="8"/>
      <c r="AH66" s="8"/>
      <c r="AI66" s="8"/>
      <c r="AJ66" s="8"/>
      <c r="AK66" s="8"/>
      <c r="BJ66" s="8"/>
      <c r="BY66" s="8"/>
      <c r="BZ66" s="8"/>
      <c r="CC66" s="8"/>
      <c r="CD66" s="8"/>
      <c r="CE66" s="8"/>
      <c r="CF66" s="8"/>
      <c r="CG66" s="1187" t="s">
        <v>191</v>
      </c>
      <c r="CH66" s="1188"/>
      <c r="CI66" s="1189"/>
      <c r="EZ66" s="13">
        <f t="shared" ref="EZ66:EZ83" si="186">RANK(FD66,FD$66:FD$83)</f>
        <v>14</v>
      </c>
      <c r="FA66" s="497">
        <f t="shared" ref="FA66:FA83" si="187">FK3</f>
        <v>14</v>
      </c>
      <c r="FB66" s="498" t="str">
        <f t="shared" ref="FB66:FB83" si="188">FB3</f>
        <v>Per-Anders Lindstrom</v>
      </c>
      <c r="FC66" s="573">
        <f t="shared" ref="FC66:FC83" si="189">IF($AR$36="",DC3,(SUM(DC3+FC3+FD3)))</f>
        <v>2</v>
      </c>
      <c r="FD66" s="600">
        <f t="shared" ref="FD66:FD83" si="190">FJ3</f>
        <v>2.0002315100000003</v>
      </c>
      <c r="GW66" s="1144"/>
      <c r="GX66" s="230" t="str">
        <f>IF($AC$32="","",IF($JB$34=$GX$3,$JC$34,IF(AND($W$34=$GX$3,$AA$34&lt;&gt;""),$AA$34,IF(AND($W$34=$GX$3,$AA$34=""),$AB$34,""))))</f>
        <v/>
      </c>
      <c r="GY66" s="301">
        <v>26</v>
      </c>
      <c r="GZ66" s="5" t="str">
        <f t="shared" si="77"/>
        <v/>
      </c>
      <c r="HA66" s="95" t="str">
        <f t="shared" si="165"/>
        <v/>
      </c>
      <c r="HB66" s="5"/>
      <c r="HC66" s="95" t="str">
        <f t="shared" si="78"/>
        <v/>
      </c>
      <c r="HG66" s="1144"/>
      <c r="HH66" s="230" t="str">
        <f>IF($AC$32="","",IF($JB$34=$HH$3,$JC$34,IF(AND($W$34=$HH$3,$AA$34&lt;&gt;""),$AA$34,IF(AND($W$34=$HH$3,$AA$34=""),$AB$34,""))))</f>
        <v/>
      </c>
      <c r="HI66" s="301">
        <v>26</v>
      </c>
      <c r="HJ66" s="5" t="str">
        <f t="shared" si="79"/>
        <v/>
      </c>
      <c r="HK66" s="95" t="str">
        <f t="shared" si="166"/>
        <v/>
      </c>
      <c r="HL66" s="5"/>
      <c r="HM66" s="95" t="str">
        <f t="shared" si="70"/>
        <v/>
      </c>
    </row>
    <row r="67" spans="4:221" ht="12.75" customHeight="1" thickBot="1">
      <c r="D67" s="8"/>
      <c r="E67" s="8"/>
      <c r="F67" s="8"/>
      <c r="G67" s="8"/>
      <c r="H67" s="8"/>
      <c r="M67" s="8"/>
      <c r="N67" s="8"/>
      <c r="S67" s="8"/>
      <c r="T67" s="8"/>
      <c r="U67" s="8"/>
      <c r="V67" s="8"/>
      <c r="W67" s="8"/>
      <c r="AH67" s="8"/>
      <c r="AI67" s="8"/>
      <c r="AJ67" s="8"/>
      <c r="AK67" s="8"/>
      <c r="BJ67" s="8"/>
      <c r="BY67" s="8"/>
      <c r="BZ67" s="8"/>
      <c r="CC67" s="8"/>
      <c r="CD67" s="8"/>
      <c r="CE67" s="8"/>
      <c r="CF67" s="8"/>
      <c r="CG67" s="16">
        <v>1</v>
      </c>
      <c r="CH67" s="13" t="str">
        <f t="shared" ref="CH67:CH84" si="191">VLOOKUP($CG67,$FA$86:$FC$103,2,FALSE)</f>
        <v>Dimitry Koltakov</v>
      </c>
      <c r="CI67" s="14">
        <f t="shared" ref="CI67:CI84" si="192">VLOOKUP($CG67,$FA$86:$FC$103,3,FALSE)</f>
        <v>15</v>
      </c>
      <c r="EZ67" s="13">
        <f t="shared" si="186"/>
        <v>3</v>
      </c>
      <c r="FA67" s="249">
        <f t="shared" si="187"/>
        <v>3</v>
      </c>
      <c r="FB67" s="486" t="str">
        <f t="shared" si="188"/>
        <v>Dimitry Khomitsevich</v>
      </c>
      <c r="FC67" s="574">
        <f t="shared" si="189"/>
        <v>18</v>
      </c>
      <c r="FD67" s="600">
        <f t="shared" si="190"/>
        <v>28</v>
      </c>
      <c r="GW67" s="1145"/>
      <c r="GX67" s="231" t="str">
        <f>IF($AC$32="","",IF($JB$35=$GX$3,$JC$35,IF(AND($W$35=$GX$3,$AA$35&lt;&gt;""),$AA$35,IF(AND($W$35=$GX$3,$AA$35=""),$AB$35,""))))</f>
        <v/>
      </c>
      <c r="GY67" s="302">
        <v>25</v>
      </c>
      <c r="GZ67" s="303" t="str">
        <f t="shared" si="77"/>
        <v/>
      </c>
      <c r="HA67" s="98" t="str">
        <f t="shared" si="165"/>
        <v/>
      </c>
      <c r="HB67" s="303"/>
      <c r="HC67" s="98" t="str">
        <f t="shared" si="78"/>
        <v/>
      </c>
      <c r="HG67" s="1145"/>
      <c r="HH67" s="231" t="str">
        <f>IF($AC$32="","",IF($JB$35=$HH$3,$JC$35,IF(AND($W$35=$HH$3,$AA$35&lt;&gt;""),$AA$35,IF(AND($W$35=$HH$3,$AA$35=""),$AB$35,""))))</f>
        <v/>
      </c>
      <c r="HI67" s="302">
        <v>25</v>
      </c>
      <c r="HJ67" s="303" t="str">
        <f t="shared" si="79"/>
        <v/>
      </c>
      <c r="HK67" s="98" t="str">
        <f t="shared" si="166"/>
        <v/>
      </c>
      <c r="HL67" s="303"/>
      <c r="HM67" s="98" t="str">
        <f t="shared" si="70"/>
        <v/>
      </c>
    </row>
    <row r="68" spans="4:221" ht="12.75" customHeight="1">
      <c r="D68" s="8"/>
      <c r="E68" s="8"/>
      <c r="F68" s="8"/>
      <c r="G68" s="8"/>
      <c r="H68" s="8"/>
      <c r="M68" s="8"/>
      <c r="N68" s="8"/>
      <c r="S68" s="8"/>
      <c r="T68" s="8"/>
      <c r="U68" s="8"/>
      <c r="V68" s="8"/>
      <c r="W68" s="8"/>
      <c r="AH68" s="8"/>
      <c r="AI68" s="8"/>
      <c r="AJ68" s="8"/>
      <c r="AK68" s="8"/>
      <c r="BJ68" s="8"/>
      <c r="BY68" s="8"/>
      <c r="BZ68" s="8"/>
      <c r="CC68" s="8"/>
      <c r="CD68" s="8"/>
      <c r="CE68" s="8"/>
      <c r="CF68" s="8"/>
      <c r="CG68" s="16">
        <v>2</v>
      </c>
      <c r="CH68" s="13" t="str">
        <f t="shared" si="191"/>
        <v>Dimitry Khomitsevich</v>
      </c>
      <c r="CI68" s="14">
        <f t="shared" si="192"/>
        <v>14</v>
      </c>
      <c r="DC68"/>
      <c r="DD68"/>
      <c r="DE68"/>
      <c r="DF68"/>
      <c r="DG68"/>
      <c r="DH68"/>
      <c r="DI68"/>
      <c r="EZ68" s="13">
        <f t="shared" si="186"/>
        <v>6</v>
      </c>
      <c r="FA68" s="249">
        <f t="shared" si="187"/>
        <v>6</v>
      </c>
      <c r="FB68" s="486" t="str">
        <f t="shared" si="188"/>
        <v>Franz Zorn</v>
      </c>
      <c r="FC68" s="574">
        <f t="shared" si="189"/>
        <v>11</v>
      </c>
      <c r="FD68" s="600">
        <f t="shared" si="190"/>
        <v>11.0131005</v>
      </c>
      <c r="GW68" s="1143">
        <v>15</v>
      </c>
      <c r="GX68" s="229" t="str">
        <f>IF($AC$36="","",IF($JB$36=$GX$3,$JC$36,IF(AND($W$36=$GX$3,$AA$36&lt;&gt;""),$AA$36,IF(AND($W$36=$GX$3,$AA$36=""),$AB$36,""))))</f>
        <v/>
      </c>
      <c r="GY68" s="299">
        <v>24</v>
      </c>
      <c r="GZ68" s="300" t="str">
        <f t="shared" si="77"/>
        <v/>
      </c>
      <c r="HA68" s="93" t="str">
        <f t="shared" si="165"/>
        <v/>
      </c>
      <c r="HB68" s="300"/>
      <c r="HC68" s="93" t="str">
        <f t="shared" si="78"/>
        <v/>
      </c>
      <c r="HG68" s="1143">
        <v>15</v>
      </c>
      <c r="HH68" s="229" t="str">
        <f>IF($AC$36="","",IF($JB$36=$HH$3,$JC$36,IF(AND($W$36=$HH$3,$AA$36&lt;&gt;""),$AA$36,IF(AND($W$36=$HH$3,$AA$36=""),$AB$36,""))))</f>
        <v/>
      </c>
      <c r="HI68" s="299">
        <v>24</v>
      </c>
      <c r="HJ68" s="300" t="str">
        <f t="shared" si="79"/>
        <v/>
      </c>
      <c r="HK68" s="93" t="str">
        <f t="shared" si="166"/>
        <v/>
      </c>
      <c r="HL68" s="300"/>
      <c r="HM68" s="93" t="str">
        <f t="shared" si="70"/>
        <v/>
      </c>
    </row>
    <row r="69" spans="4:221" ht="12.75" customHeight="1">
      <c r="D69" s="8"/>
      <c r="E69" s="8"/>
      <c r="F69" s="8"/>
      <c r="G69" s="8"/>
      <c r="H69" s="8"/>
      <c r="M69" s="8"/>
      <c r="N69" s="8"/>
      <c r="S69" s="8"/>
      <c r="T69" s="8"/>
      <c r="U69" s="8"/>
      <c r="V69" s="8"/>
      <c r="W69" s="8"/>
      <c r="AH69" s="8"/>
      <c r="AI69" s="8"/>
      <c r="AJ69" s="8"/>
      <c r="AK69" s="8"/>
      <c r="BJ69" s="8"/>
      <c r="BY69" s="8"/>
      <c r="BZ69" s="8"/>
      <c r="CC69" s="8"/>
      <c r="CD69" s="8"/>
      <c r="CE69" s="8"/>
      <c r="CF69" s="8"/>
      <c r="CG69" s="16">
        <v>3</v>
      </c>
      <c r="CH69" s="13" t="str">
        <f t="shared" si="191"/>
        <v>Daniil Ivanov</v>
      </c>
      <c r="CI69" s="14">
        <f t="shared" si="192"/>
        <v>13</v>
      </c>
      <c r="DC69"/>
      <c r="DD69"/>
      <c r="DE69"/>
      <c r="DF69"/>
      <c r="DG69"/>
      <c r="DH69"/>
      <c r="DI69"/>
      <c r="EZ69" s="13">
        <f t="shared" si="186"/>
        <v>12</v>
      </c>
      <c r="FA69" s="249">
        <f t="shared" si="187"/>
        <v>12</v>
      </c>
      <c r="FB69" s="486" t="str">
        <f t="shared" si="188"/>
        <v>Jan Klatovsky</v>
      </c>
      <c r="FC69" s="574">
        <f t="shared" si="189"/>
        <v>4</v>
      </c>
      <c r="FD69" s="600">
        <f t="shared" si="190"/>
        <v>4.0012215400000013</v>
      </c>
      <c r="GW69" s="1144"/>
      <c r="GX69" s="230" t="str">
        <f>IF($AC$36="","",IF($JB$37=$GX$3,$JC$37,IF(AND($W$37=$GX$3,$AA$37&lt;&gt;""),$AA$37,IF(AND($W$37=$GX$3,$AA$37=""),$AB$37,""))))</f>
        <v/>
      </c>
      <c r="GY69" s="301">
        <v>23</v>
      </c>
      <c r="GZ69" s="5" t="str">
        <f t="shared" si="77"/>
        <v/>
      </c>
      <c r="HA69" s="95" t="str">
        <f t="shared" si="165"/>
        <v/>
      </c>
      <c r="HB69" s="5"/>
      <c r="HC69" s="95" t="str">
        <f t="shared" si="78"/>
        <v/>
      </c>
      <c r="HG69" s="1144"/>
      <c r="HH69" s="230" t="str">
        <f>IF($AC$36="","",IF($JB$37=$HH$3,$JC$37,IF(AND($W$37=$HH$3,$AA$37&lt;&gt;""),$AA$37,IF(AND($W$37=$HH$3,$AA$37=""),$AB$37,""))))</f>
        <v/>
      </c>
      <c r="HI69" s="301">
        <v>23</v>
      </c>
      <c r="HJ69" s="5" t="str">
        <f t="shared" si="79"/>
        <v/>
      </c>
      <c r="HK69" s="95" t="str">
        <f t="shared" si="166"/>
        <v/>
      </c>
      <c r="HL69" s="5"/>
      <c r="HM69" s="95" t="str">
        <f t="shared" si="70"/>
        <v/>
      </c>
    </row>
    <row r="70" spans="4:221" ht="12.75" customHeight="1">
      <c r="D70" s="8"/>
      <c r="E70" s="8"/>
      <c r="F70" s="8"/>
      <c r="G70" s="8"/>
      <c r="H70" s="8"/>
      <c r="M70" s="8"/>
      <c r="N70" s="8"/>
      <c r="S70" s="8"/>
      <c r="T70" s="8"/>
      <c r="U70" s="8"/>
      <c r="V70" s="8"/>
      <c r="W70" s="8"/>
      <c r="AH70" s="8"/>
      <c r="AI70" s="8"/>
      <c r="AJ70" s="8"/>
      <c r="AK70" s="8"/>
      <c r="BJ70" s="8"/>
      <c r="BY70" s="8"/>
      <c r="BZ70" s="8"/>
      <c r="CC70" s="8"/>
      <c r="CD70" s="8"/>
      <c r="CE70" s="8"/>
      <c r="CF70" s="8"/>
      <c r="CG70" s="16">
        <v>4</v>
      </c>
      <c r="CH70" s="13" t="str">
        <f t="shared" si="191"/>
        <v>Igor Kononov</v>
      </c>
      <c r="CI70" s="14">
        <f t="shared" si="192"/>
        <v>12</v>
      </c>
      <c r="DC70"/>
      <c r="DD70"/>
      <c r="DE70"/>
      <c r="DF70"/>
      <c r="DG70"/>
      <c r="DH70"/>
      <c r="DI70"/>
      <c r="EZ70" s="13">
        <f t="shared" si="186"/>
        <v>10</v>
      </c>
      <c r="FA70" s="249">
        <f t="shared" si="187"/>
        <v>10</v>
      </c>
      <c r="FB70" s="486" t="str">
        <f t="shared" si="188"/>
        <v>Antonin Klatovsky</v>
      </c>
      <c r="FC70" s="574">
        <f t="shared" si="189"/>
        <v>5</v>
      </c>
      <c r="FD70" s="600">
        <f t="shared" si="190"/>
        <v>5.0102204600000002</v>
      </c>
      <c r="GW70" s="1144"/>
      <c r="GX70" s="230" t="str">
        <f>IF($AC$36="","",IF($JB$38=$GX$3,$JC$38,IF(AND($W$38=$GX$3,$AA$38&lt;&gt;""),$AA$38,IF(AND($W$38=$GX$3,$AA$38=""),$AB$38,""))))</f>
        <v/>
      </c>
      <c r="GY70" s="301">
        <v>22</v>
      </c>
      <c r="GZ70" s="5" t="str">
        <f t="shared" si="77"/>
        <v/>
      </c>
      <c r="HA70" s="95" t="str">
        <f t="shared" si="165"/>
        <v/>
      </c>
      <c r="HB70" s="5"/>
      <c r="HC70" s="95" t="str">
        <f t="shared" si="78"/>
        <v/>
      </c>
      <c r="HG70" s="1144"/>
      <c r="HH70" s="230" t="str">
        <f>IF($AC$36="","",IF($JB$38=$HH$3,$JC$38,IF(AND($W$38=$HH$3,$AA$38&lt;&gt;""),$AA$38,IF(AND($W$38=$HH$3,$AA$38=""),$AB$38,""))))</f>
        <v/>
      </c>
      <c r="HI70" s="301">
        <v>22</v>
      </c>
      <c r="HJ70" s="5" t="str">
        <f t="shared" si="79"/>
        <v/>
      </c>
      <c r="HK70" s="95" t="str">
        <f t="shared" si="166"/>
        <v/>
      </c>
      <c r="HL70" s="5"/>
      <c r="HM70" s="95" t="str">
        <f t="shared" si="70"/>
        <v/>
      </c>
    </row>
    <row r="71" spans="4:221" ht="12.75" customHeight="1" thickBot="1">
      <c r="D71" s="8"/>
      <c r="E71" s="8"/>
      <c r="F71" s="8"/>
      <c r="G71" s="8"/>
      <c r="H71" s="8"/>
      <c r="M71" s="8"/>
      <c r="N71" s="8"/>
      <c r="S71" s="8"/>
      <c r="T71" s="8"/>
      <c r="U71" s="8"/>
      <c r="V71" s="8"/>
      <c r="W71" s="8"/>
      <c r="AH71" s="8"/>
      <c r="AI71" s="8"/>
      <c r="AJ71" s="8"/>
      <c r="AK71" s="8"/>
      <c r="BJ71" s="8"/>
      <c r="BY71" s="8"/>
      <c r="BZ71" s="8"/>
      <c r="CC71" s="8"/>
      <c r="CD71" s="8"/>
      <c r="CE71" s="8"/>
      <c r="CF71" s="8"/>
      <c r="CG71" s="16">
        <v>5</v>
      </c>
      <c r="CH71" s="13" t="str">
        <f t="shared" si="191"/>
        <v>Vitaly Khomitsevich</v>
      </c>
      <c r="CI71" s="14">
        <f t="shared" si="192"/>
        <v>11</v>
      </c>
      <c r="DC71"/>
      <c r="DD71"/>
      <c r="DE71"/>
      <c r="DF71"/>
      <c r="DG71"/>
      <c r="DH71"/>
      <c r="DI71"/>
      <c r="EZ71" s="13">
        <f t="shared" si="186"/>
        <v>17</v>
      </c>
      <c r="FA71" s="249">
        <f t="shared" si="187"/>
        <v>17</v>
      </c>
      <c r="FB71" s="486" t="str">
        <f t="shared" si="188"/>
        <v>Rene Stellingwerf</v>
      </c>
      <c r="FC71" s="574">
        <f t="shared" si="189"/>
        <v>0</v>
      </c>
      <c r="FD71" s="600">
        <f t="shared" si="190"/>
        <v>4.4000000000000002E-7</v>
      </c>
      <c r="GW71" s="1145"/>
      <c r="GX71" s="231" t="str">
        <f>IF($AC$36="","",IF($JB$39=$GX$3,$JC$39,IF(AND($W$39=$GX$3,$AA$39&lt;&gt;""),$AA$39,IF(AND($W$39=$GX$3,$AA$39=""),$AB$39,""))))</f>
        <v/>
      </c>
      <c r="GY71" s="302">
        <v>21</v>
      </c>
      <c r="GZ71" s="303" t="str">
        <f t="shared" si="77"/>
        <v/>
      </c>
      <c r="HA71" s="98" t="str">
        <f t="shared" si="165"/>
        <v/>
      </c>
      <c r="HB71" s="303"/>
      <c r="HC71" s="98" t="str">
        <f t="shared" si="78"/>
        <v/>
      </c>
      <c r="HG71" s="1145"/>
      <c r="HH71" s="231" t="str">
        <f>IF($AC$36="","",IF($JB$39=$HH$3,$JC$39,IF(AND($W$39=$HH$3,$AA$39&lt;&gt;""),$AA$39,IF(AND($W$39=$HH$3,$AA$39=""),$AB$39,""))))</f>
        <v/>
      </c>
      <c r="HI71" s="302">
        <v>21</v>
      </c>
      <c r="HJ71" s="303" t="str">
        <f t="shared" si="79"/>
        <v/>
      </c>
      <c r="HK71" s="98" t="str">
        <f t="shared" si="166"/>
        <v/>
      </c>
      <c r="HL71" s="303"/>
      <c r="HM71" s="98" t="str">
        <f t="shared" si="70"/>
        <v/>
      </c>
    </row>
    <row r="72" spans="4:221" ht="12.75" customHeight="1">
      <c r="D72" s="8"/>
      <c r="E72" s="8"/>
      <c r="F72" s="8"/>
      <c r="G72" s="8"/>
      <c r="H72" s="8"/>
      <c r="M72" s="8"/>
      <c r="N72" s="8"/>
      <c r="S72" s="8"/>
      <c r="T72" s="8"/>
      <c r="U72" s="8"/>
      <c r="V72" s="8"/>
      <c r="W72" s="8"/>
      <c r="AH72" s="8"/>
      <c r="AI72" s="8"/>
      <c r="AJ72" s="8"/>
      <c r="AK72" s="8"/>
      <c r="BJ72" s="8"/>
      <c r="BY72" s="8"/>
      <c r="BZ72" s="8"/>
      <c r="CC72" s="8"/>
      <c r="CD72" s="8"/>
      <c r="CE72" s="8"/>
      <c r="CF72" s="8"/>
      <c r="CG72" s="16">
        <v>6</v>
      </c>
      <c r="CH72" s="13" t="str">
        <f t="shared" si="191"/>
        <v>Franz Zorn</v>
      </c>
      <c r="CI72" s="14">
        <f t="shared" si="192"/>
        <v>10</v>
      </c>
      <c r="DC72"/>
      <c r="DD72"/>
      <c r="DE72"/>
      <c r="DF72"/>
      <c r="DG72"/>
      <c r="DH72"/>
      <c r="DI72"/>
      <c r="EZ72" s="13">
        <f t="shared" si="186"/>
        <v>4</v>
      </c>
      <c r="FA72" s="249">
        <f t="shared" si="187"/>
        <v>4</v>
      </c>
      <c r="FB72" s="486" t="str">
        <f t="shared" si="188"/>
        <v>Igor Kononov</v>
      </c>
      <c r="FC72" s="574">
        <f t="shared" si="189"/>
        <v>14</v>
      </c>
      <c r="FD72" s="600">
        <f t="shared" si="190"/>
        <v>27.01403110056</v>
      </c>
      <c r="GW72" s="1143">
        <v>16</v>
      </c>
      <c r="GX72" s="229" t="str">
        <f>IF($AC$40="","",IF($JB$40=$GX$3,$JC$40,IF(AND($W$40=$GX$3,$AA$40&lt;&gt;""),$AA$40,IF(AND($W$40=$GX$3,$AA$40=""),$AB$40,""))))</f>
        <v/>
      </c>
      <c r="GY72" s="299">
        <v>20</v>
      </c>
      <c r="GZ72" s="300" t="str">
        <f t="shared" si="77"/>
        <v/>
      </c>
      <c r="HA72" s="93" t="str">
        <f t="shared" si="165"/>
        <v/>
      </c>
      <c r="HB72" s="300"/>
      <c r="HC72" s="93" t="str">
        <f t="shared" si="78"/>
        <v/>
      </c>
      <c r="HG72" s="1143">
        <v>16</v>
      </c>
      <c r="HH72" s="229" t="str">
        <f>IF($AC$40="","",IF($JB$40=$HH$3,$JC$40,IF(AND($W$40=$HH$3,$AA$40&lt;&gt;""),$AA$40,IF(AND($W$40=$HH$3,$AA$40=""),$AB$40,""))))</f>
        <v/>
      </c>
      <c r="HI72" s="299">
        <v>20</v>
      </c>
      <c r="HJ72" s="300" t="str">
        <f t="shared" si="79"/>
        <v/>
      </c>
      <c r="HK72" s="93" t="str">
        <f t="shared" si="166"/>
        <v/>
      </c>
      <c r="HL72" s="300"/>
      <c r="HM72" s="93" t="str">
        <f t="shared" si="70"/>
        <v/>
      </c>
    </row>
    <row r="73" spans="4:221" ht="12.75" customHeight="1">
      <c r="D73" s="8"/>
      <c r="E73" s="8"/>
      <c r="F73" s="8"/>
      <c r="G73" s="8"/>
      <c r="H73" s="8"/>
      <c r="M73" s="8"/>
      <c r="N73" s="8"/>
      <c r="S73" s="8"/>
      <c r="T73" s="8"/>
      <c r="U73" s="8"/>
      <c r="V73" s="8"/>
      <c r="W73" s="8"/>
      <c r="AH73" s="8"/>
      <c r="AI73" s="8"/>
      <c r="AJ73" s="8"/>
      <c r="AK73" s="8"/>
      <c r="BJ73" s="8"/>
      <c r="BY73" s="8"/>
      <c r="BZ73" s="8"/>
      <c r="CC73" s="8"/>
      <c r="CD73" s="8"/>
      <c r="CE73" s="8"/>
      <c r="CF73" s="8"/>
      <c r="CG73" s="16">
        <v>7</v>
      </c>
      <c r="CH73" s="13" t="str">
        <f t="shared" si="191"/>
        <v>Gunter Bauer</v>
      </c>
      <c r="CI73" s="14">
        <f t="shared" si="192"/>
        <v>9</v>
      </c>
      <c r="EZ73" s="13">
        <f t="shared" si="186"/>
        <v>7</v>
      </c>
      <c r="FA73" s="249">
        <f t="shared" si="187"/>
        <v>7</v>
      </c>
      <c r="FB73" s="486" t="str">
        <f t="shared" si="188"/>
        <v>Gunter Bauer</v>
      </c>
      <c r="FC73" s="574">
        <f t="shared" si="189"/>
        <v>9</v>
      </c>
      <c r="FD73" s="600">
        <f t="shared" si="190"/>
        <v>9.0041005299999988</v>
      </c>
      <c r="GW73" s="1144"/>
      <c r="GX73" s="230">
        <f>IF($AC$40="","",IF($JB$41=$GX$3,$JC$41,IF(AND($W$41=$GX$3,$AA$41&lt;&gt;""),$AA$41,IF(AND($W$41=$GX$3,$AA$41=""),$AB$41,""))))</f>
        <v>0</v>
      </c>
      <c r="GY73" s="301">
        <v>19</v>
      </c>
      <c r="GZ73" s="5">
        <f t="shared" si="77"/>
        <v>19</v>
      </c>
      <c r="HA73" s="95">
        <f t="shared" si="165"/>
        <v>4</v>
      </c>
      <c r="HB73" s="5"/>
      <c r="HC73" s="95">
        <f t="shared" si="78"/>
        <v>0</v>
      </c>
      <c r="HG73" s="1144"/>
      <c r="HH73" s="230" t="str">
        <f>IF($AC$40="","",IF($JB$41=$HH$3,$JC$41,IF(AND($W$41=$HH$3,$AA$41&lt;&gt;""),$AA$41,IF(AND($W$41=$HH$3,$AA$41=""),$AB$41,""))))</f>
        <v/>
      </c>
      <c r="HI73" s="301">
        <v>19</v>
      </c>
      <c r="HJ73" s="5" t="str">
        <f t="shared" si="79"/>
        <v/>
      </c>
      <c r="HK73" s="95" t="str">
        <f t="shared" si="166"/>
        <v/>
      </c>
      <c r="HL73" s="5"/>
      <c r="HM73" s="95" t="str">
        <f t="shared" si="70"/>
        <v/>
      </c>
    </row>
    <row r="74" spans="4:221" ht="12.75" customHeight="1">
      <c r="D74" s="8"/>
      <c r="E74" s="8"/>
      <c r="F74" s="8"/>
      <c r="G74" s="8"/>
      <c r="H74" s="8"/>
      <c r="M74" s="8"/>
      <c r="N74" s="8"/>
      <c r="S74" s="8"/>
      <c r="T74" s="8"/>
      <c r="U74" s="8"/>
      <c r="V74" s="8"/>
      <c r="W74" s="8"/>
      <c r="AH74" s="8"/>
      <c r="AI74" s="8"/>
      <c r="AJ74" s="8"/>
      <c r="AK74" s="8"/>
      <c r="BJ74" s="8"/>
      <c r="BY74" s="8"/>
      <c r="BZ74" s="8"/>
      <c r="CC74" s="8"/>
      <c r="CD74" s="8"/>
      <c r="CE74" s="8"/>
      <c r="CF74" s="8"/>
      <c r="CG74" s="16">
        <v>8</v>
      </c>
      <c r="CH74" s="13" t="str">
        <f t="shared" si="191"/>
        <v>Stefan Svensson</v>
      </c>
      <c r="CI74" s="14">
        <f t="shared" si="192"/>
        <v>8</v>
      </c>
      <c r="EZ74" s="13">
        <f t="shared" si="186"/>
        <v>2</v>
      </c>
      <c r="FA74" s="249">
        <f t="shared" si="187"/>
        <v>2</v>
      </c>
      <c r="FB74" s="486" t="str">
        <f t="shared" si="188"/>
        <v>Daniil Ivanov</v>
      </c>
      <c r="FC74" s="574">
        <f t="shared" si="189"/>
        <v>17</v>
      </c>
      <c r="FD74" s="600">
        <f t="shared" si="190"/>
        <v>29</v>
      </c>
      <c r="GW74" s="1144"/>
      <c r="GX74" s="230" t="str">
        <f>IF($AC$40="","",IF($JB$42=$GX$3,$JC$42,IF(AND($W$42=$GX$3,$AA$42&lt;&gt;""),$AA$42,IF(AND($W$42=$GX$3,$AA$42=""),$AB$42,""))))</f>
        <v/>
      </c>
      <c r="GY74" s="301">
        <v>18</v>
      </c>
      <c r="GZ74" s="5" t="str">
        <f t="shared" si="77"/>
        <v/>
      </c>
      <c r="HA74" s="95" t="str">
        <f t="shared" si="165"/>
        <v/>
      </c>
      <c r="HB74" s="5"/>
      <c r="HC74" s="95" t="str">
        <f t="shared" si="78"/>
        <v/>
      </c>
      <c r="HG74" s="1144"/>
      <c r="HH74" s="230" t="str">
        <f>IF($AC$40="","",IF($JB$42=$HH$3,$JC$42,IF(AND($W$42=$HH$3,$AA$42&lt;&gt;""),$AA$42,IF(AND($W$42=$HH$3,$AA$42=""),$AB$42,""))))</f>
        <v/>
      </c>
      <c r="HI74" s="301">
        <v>18</v>
      </c>
      <c r="HJ74" s="5" t="str">
        <f t="shared" si="79"/>
        <v/>
      </c>
      <c r="HK74" s="95" t="str">
        <f t="shared" si="166"/>
        <v/>
      </c>
      <c r="HL74" s="5"/>
      <c r="HM74" s="95" t="str">
        <f t="shared" si="70"/>
        <v/>
      </c>
    </row>
    <row r="75" spans="4:221" ht="12.75" customHeight="1" thickBot="1">
      <c r="D75" s="8"/>
      <c r="E75" s="8"/>
      <c r="F75" s="8"/>
      <c r="G75" s="8"/>
      <c r="H75" s="8"/>
      <c r="M75" s="8"/>
      <c r="N75" s="8"/>
      <c r="S75" s="8"/>
      <c r="T75" s="8"/>
      <c r="U75" s="8"/>
      <c r="V75" s="8"/>
      <c r="W75" s="8"/>
      <c r="AH75" s="8"/>
      <c r="AI75" s="8"/>
      <c r="AJ75" s="8"/>
      <c r="AK75" s="8"/>
      <c r="BJ75" s="8"/>
      <c r="BY75" s="8"/>
      <c r="BZ75" s="8"/>
      <c r="CC75" s="8"/>
      <c r="CD75" s="8"/>
      <c r="CE75" s="8"/>
      <c r="CF75" s="8"/>
      <c r="CG75" s="16">
        <v>9</v>
      </c>
      <c r="CH75" s="13" t="str">
        <f t="shared" si="191"/>
        <v>Hans Weber</v>
      </c>
      <c r="CI75" s="14">
        <f t="shared" si="192"/>
        <v>6</v>
      </c>
      <c r="EZ75" s="13">
        <f t="shared" si="186"/>
        <v>9</v>
      </c>
      <c r="FA75" s="249">
        <f t="shared" si="187"/>
        <v>9</v>
      </c>
      <c r="FB75" s="486" t="str">
        <f t="shared" si="188"/>
        <v>Hans Weber</v>
      </c>
      <c r="FC75" s="574">
        <f t="shared" si="189"/>
        <v>6</v>
      </c>
      <c r="FD75" s="600">
        <f t="shared" si="190"/>
        <v>6.0022104799999996</v>
      </c>
      <c r="GW75" s="1145"/>
      <c r="GX75" s="231" t="str">
        <f>IF($AC$40="","",IF($JB$43=$GX$3,$JC$43,IF(AND($W$43=$GX$3,$AA$43&lt;&gt;""),$AA$43,IF(AND($W$43=$GX$3,$AA$43=""),$AB$43,""))))</f>
        <v/>
      </c>
      <c r="GY75" s="302">
        <v>17</v>
      </c>
      <c r="GZ75" s="303" t="str">
        <f t="shared" si="77"/>
        <v/>
      </c>
      <c r="HA75" s="98" t="str">
        <f t="shared" si="165"/>
        <v/>
      </c>
      <c r="HB75" s="303"/>
      <c r="HC75" s="98" t="str">
        <f t="shared" si="78"/>
        <v/>
      </c>
      <c r="HG75" s="1145"/>
      <c r="HH75" s="231" t="str">
        <f>IF($AC$40="","",IF($JB$43=$HH$3,$JC$43,IF(AND($W$43=$HH$3,$AA$43&lt;&gt;""),$AA$43,IF(AND($W$43=$HH$3,$AA$43=""),$AB$43,""))))</f>
        <v/>
      </c>
      <c r="HI75" s="302">
        <v>17</v>
      </c>
      <c r="HJ75" s="303" t="str">
        <f t="shared" si="79"/>
        <v/>
      </c>
      <c r="HK75" s="98" t="str">
        <f t="shared" si="166"/>
        <v/>
      </c>
      <c r="HL75" s="303"/>
      <c r="HM75" s="98" t="str">
        <f t="shared" si="70"/>
        <v/>
      </c>
    </row>
    <row r="76" spans="4:221" ht="12.75" customHeight="1">
      <c r="D76" s="8"/>
      <c r="E76" s="8"/>
      <c r="F76" s="8"/>
      <c r="G76" s="8"/>
      <c r="H76" s="8"/>
      <c r="M76" s="8"/>
      <c r="N76" s="8"/>
      <c r="S76" s="8"/>
      <c r="T76" s="8"/>
      <c r="U76" s="8"/>
      <c r="V76" s="8"/>
      <c r="W76" s="8"/>
      <c r="AH76" s="8"/>
      <c r="AI76" s="8"/>
      <c r="AJ76" s="8"/>
      <c r="AK76" s="8"/>
      <c r="BJ76" s="8"/>
      <c r="BY76" s="8"/>
      <c r="BZ76" s="8"/>
      <c r="CC76" s="8"/>
      <c r="CD76" s="8"/>
      <c r="CE76" s="8"/>
      <c r="CF76" s="8"/>
      <c r="CG76" s="16">
        <v>10</v>
      </c>
      <c r="CH76" s="13" t="str">
        <f t="shared" si="191"/>
        <v>Antonin Klatovsky</v>
      </c>
      <c r="CI76" s="14">
        <f t="shared" si="192"/>
        <v>5</v>
      </c>
      <c r="EZ76" s="13">
        <f t="shared" si="186"/>
        <v>13</v>
      </c>
      <c r="FA76" s="249">
        <f t="shared" si="187"/>
        <v>13</v>
      </c>
      <c r="FB76" s="499" t="str">
        <f t="shared" si="188"/>
        <v>Harald Simon</v>
      </c>
      <c r="FC76" s="574">
        <f t="shared" si="189"/>
        <v>4</v>
      </c>
      <c r="FD76" s="600">
        <f t="shared" si="190"/>
        <v>4.0012204500000008</v>
      </c>
      <c r="GW76" s="1143">
        <v>17</v>
      </c>
      <c r="GX76" s="229" t="str">
        <f>IF($AR$12="","",IF($JG$12=$GX$3,$JH$12,IF(AND($AL$12=$GX$3,$AP$12&lt;&gt;""),$AP$12,IF(AND($AL$12=$GX$3,$AP$12=""),$AQ$12,""))))</f>
        <v/>
      </c>
      <c r="GY76" s="299">
        <v>16</v>
      </c>
      <c r="GZ76" s="300" t="str">
        <f t="shared" si="77"/>
        <v/>
      </c>
      <c r="HA76" s="93" t="str">
        <f t="shared" ref="HA76:HA91" si="193">IF(GX76="","",RANK(GZ76,GZ$12:GZ$91))</f>
        <v/>
      </c>
      <c r="HB76" s="300"/>
      <c r="HC76" s="93" t="str">
        <f t="shared" si="78"/>
        <v/>
      </c>
      <c r="HG76" s="1143">
        <v>17</v>
      </c>
      <c r="HH76" s="229" t="str">
        <f>IF($AR$12="","",IF($JG$12=$HH$3,$JH$12,IF(AND($AL$12=$HH$3,$AP$12&lt;&gt;""),$AP$12,IF(AND($AL$12=$HH$3,$AP$12=""),$AQ$12,""))))</f>
        <v/>
      </c>
      <c r="HI76" s="299">
        <v>16</v>
      </c>
      <c r="HJ76" s="300" t="str">
        <f t="shared" si="79"/>
        <v/>
      </c>
      <c r="HK76" s="93" t="str">
        <f t="shared" ref="HK76:HK91" si="194">IF(HH76="","",RANK(HJ76,HJ$12:HJ$91))</f>
        <v/>
      </c>
      <c r="HL76" s="300"/>
      <c r="HM76" s="93" t="str">
        <f t="shared" ref="HM76:HM91" si="195">IF(HH76="","",HH76)</f>
        <v/>
      </c>
    </row>
    <row r="77" spans="4:221" ht="12.75" customHeight="1">
      <c r="D77" s="8"/>
      <c r="E77" s="8"/>
      <c r="F77" s="8"/>
      <c r="G77" s="8"/>
      <c r="H77" s="8"/>
      <c r="M77" s="8"/>
      <c r="N77" s="8"/>
      <c r="S77" s="8"/>
      <c r="T77" s="8"/>
      <c r="U77" s="8"/>
      <c r="V77" s="8"/>
      <c r="W77" s="8"/>
      <c r="AH77" s="8"/>
      <c r="AI77" s="8"/>
      <c r="AJ77" s="8"/>
      <c r="AK77" s="8"/>
      <c r="BJ77" s="8"/>
      <c r="BY77" s="8"/>
      <c r="BZ77" s="8"/>
      <c r="CC77" s="8"/>
      <c r="CD77" s="8"/>
      <c r="CE77" s="8"/>
      <c r="CF77" s="8"/>
      <c r="CG77" s="16">
        <v>11</v>
      </c>
      <c r="CH77" s="13" t="str">
        <f t="shared" si="191"/>
        <v>Daniel Henderson</v>
      </c>
      <c r="CI77" s="14">
        <f t="shared" si="192"/>
        <v>5</v>
      </c>
      <c r="EZ77" s="13">
        <f t="shared" si="186"/>
        <v>5</v>
      </c>
      <c r="FA77" s="249">
        <f t="shared" si="187"/>
        <v>5</v>
      </c>
      <c r="FB77" s="486" t="str">
        <f t="shared" si="188"/>
        <v>Vitaly Khomitsevich</v>
      </c>
      <c r="FC77" s="574">
        <f t="shared" si="189"/>
        <v>12</v>
      </c>
      <c r="FD77" s="600">
        <f t="shared" si="190"/>
        <v>12.02210049</v>
      </c>
      <c r="GW77" s="1144"/>
      <c r="GX77" s="230" t="str">
        <f>IF($AR$12="","",IF($JG$13=$GX$3,$JH$13,IF(AND($AL$13=$GX$3,$AP$13&lt;&gt;""),$AP$13,IF(AND($AL$13=$GX$3,$AP$13=""),$AQ$13,""))))</f>
        <v/>
      </c>
      <c r="GY77" s="301">
        <v>15</v>
      </c>
      <c r="GZ77" s="5" t="str">
        <f t="shared" ref="GZ77:GZ91" si="196">IF(GX77="","",GY77)</f>
        <v/>
      </c>
      <c r="HA77" s="95" t="str">
        <f t="shared" si="193"/>
        <v/>
      </c>
      <c r="HB77" s="5"/>
      <c r="HC77" s="95" t="str">
        <f t="shared" ref="HC77:HC91" si="197">IF(GX77="","",GX77)</f>
        <v/>
      </c>
      <c r="HG77" s="1144"/>
      <c r="HH77" s="230" t="str">
        <f>IF($AR$12="","",IF($JG$13=$HH$3,$JH$13,IF(AND($AL$13=$HH$3,$AP$13&lt;&gt;""),$AP$13,IF(AND($AL$13=$HH$3,$AP$13=""),$AQ$13,""))))</f>
        <v/>
      </c>
      <c r="HI77" s="301">
        <v>15</v>
      </c>
      <c r="HJ77" s="5" t="str">
        <f t="shared" ref="HJ77:HJ91" si="198">IF(HH77="","",HI77)</f>
        <v/>
      </c>
      <c r="HK77" s="95" t="str">
        <f t="shared" si="194"/>
        <v/>
      </c>
      <c r="HL77" s="5"/>
      <c r="HM77" s="95" t="str">
        <f t="shared" si="195"/>
        <v/>
      </c>
    </row>
    <row r="78" spans="4:221" ht="12.75" customHeight="1">
      <c r="D78" s="8"/>
      <c r="E78" s="8"/>
      <c r="F78" s="8"/>
      <c r="G78" s="8"/>
      <c r="H78" s="8"/>
      <c r="M78" s="8"/>
      <c r="N78" s="8"/>
      <c r="S78" s="8"/>
      <c r="T78" s="8"/>
      <c r="U78" s="8"/>
      <c r="V78" s="8"/>
      <c r="W78" s="8"/>
      <c r="AH78" s="8"/>
      <c r="AI78" s="8"/>
      <c r="AJ78" s="8"/>
      <c r="AK78" s="8"/>
      <c r="BJ78" s="8"/>
      <c r="BY78" s="8"/>
      <c r="BZ78" s="8"/>
      <c r="CC78" s="8"/>
      <c r="CD78" s="8"/>
      <c r="CE78" s="8"/>
      <c r="CF78" s="8"/>
      <c r="CG78" s="16">
        <v>12</v>
      </c>
      <c r="CH78" s="13" t="str">
        <f t="shared" si="191"/>
        <v>Jan Klatovsky</v>
      </c>
      <c r="CI78" s="14">
        <f t="shared" si="192"/>
        <v>4</v>
      </c>
      <c r="EZ78" s="13">
        <f t="shared" si="186"/>
        <v>11</v>
      </c>
      <c r="FA78" s="249">
        <f t="shared" si="187"/>
        <v>11</v>
      </c>
      <c r="FB78" s="486" t="str">
        <f t="shared" si="188"/>
        <v>Daniel Henderson</v>
      </c>
      <c r="FC78" s="574">
        <f t="shared" si="189"/>
        <v>5</v>
      </c>
      <c r="FD78" s="600">
        <f t="shared" si="190"/>
        <v>5.0013104100000003</v>
      </c>
      <c r="GW78" s="1144"/>
      <c r="GX78" s="230" t="str">
        <f>IF($AR$12="","",IF($JG$14=$GX$3,$JH$14,IF(AND($AL$14=$GX$3,$AP$14&lt;&gt;""),$AP$14,IF(AND($AL$14=$GX$3,$AP$14=""),$AQ$14,""))))</f>
        <v/>
      </c>
      <c r="GY78" s="301">
        <v>14</v>
      </c>
      <c r="GZ78" s="5" t="str">
        <f t="shared" si="196"/>
        <v/>
      </c>
      <c r="HA78" s="95" t="str">
        <f t="shared" si="193"/>
        <v/>
      </c>
      <c r="HB78" s="5"/>
      <c r="HC78" s="95" t="str">
        <f t="shared" si="197"/>
        <v/>
      </c>
      <c r="HG78" s="1144"/>
      <c r="HH78" s="230" t="str">
        <f>IF($AR$12="","",IF($JG$14=$HH$3,$JH$14,IF(AND($AL$14=$HH$3,$AP$14&lt;&gt;""),$AP$14,IF(AND($AL$14=$HH$3,$AP$14=""),$AQ$14,""))))</f>
        <v/>
      </c>
      <c r="HI78" s="301">
        <v>14</v>
      </c>
      <c r="HJ78" s="5" t="str">
        <f t="shared" si="198"/>
        <v/>
      </c>
      <c r="HK78" s="95" t="str">
        <f t="shared" si="194"/>
        <v/>
      </c>
      <c r="HL78" s="5"/>
      <c r="HM78" s="95" t="str">
        <f t="shared" si="195"/>
        <v/>
      </c>
    </row>
    <row r="79" spans="4:221" ht="12.75" customHeight="1" thickBot="1">
      <c r="D79" s="8"/>
      <c r="E79" s="8"/>
      <c r="F79" s="8"/>
      <c r="G79" s="8"/>
      <c r="H79" s="8"/>
      <c r="M79" s="8"/>
      <c r="N79" s="8"/>
      <c r="S79" s="8"/>
      <c r="T79" s="8"/>
      <c r="U79" s="8"/>
      <c r="V79" s="8"/>
      <c r="W79" s="8"/>
      <c r="AH79" s="8"/>
      <c r="AI79" s="8"/>
      <c r="AJ79" s="8"/>
      <c r="AK79" s="8"/>
      <c r="BJ79" s="8"/>
      <c r="BY79" s="8"/>
      <c r="BZ79" s="8"/>
      <c r="CC79" s="8"/>
      <c r="CD79" s="8"/>
      <c r="CE79" s="8"/>
      <c r="CF79" s="8"/>
      <c r="CG79" s="16">
        <v>13</v>
      </c>
      <c r="CH79" s="13" t="str">
        <f t="shared" si="191"/>
        <v>Harald Simon</v>
      </c>
      <c r="CI79" s="14">
        <f t="shared" si="192"/>
        <v>4</v>
      </c>
      <c r="EZ79" s="13">
        <f t="shared" si="186"/>
        <v>15</v>
      </c>
      <c r="FA79" s="249">
        <f t="shared" si="187"/>
        <v>15</v>
      </c>
      <c r="FB79" s="486" t="str">
        <f t="shared" si="188"/>
        <v>Stefan Pletschacher</v>
      </c>
      <c r="FC79" s="574">
        <f t="shared" si="189"/>
        <v>2</v>
      </c>
      <c r="FD79" s="600">
        <f t="shared" si="190"/>
        <v>2.0002305200000001</v>
      </c>
      <c r="GW79" s="1145"/>
      <c r="GX79" s="231" t="str">
        <f>IF($AR$12="","",IF($JG$15=$GX$3,$JH$15,IF(AND($AL$15=$GX$3,$AP$15&lt;&gt;""),$AP$15,IF(AND($AL$15=$GX$3,$AP$15=""),$AQ$15,""))))</f>
        <v/>
      </c>
      <c r="GY79" s="302">
        <v>13</v>
      </c>
      <c r="GZ79" s="303" t="str">
        <f t="shared" si="196"/>
        <v/>
      </c>
      <c r="HA79" s="98" t="str">
        <f t="shared" si="193"/>
        <v/>
      </c>
      <c r="HB79" s="303"/>
      <c r="HC79" s="98" t="str">
        <f t="shared" si="197"/>
        <v/>
      </c>
      <c r="HG79" s="1145"/>
      <c r="HH79" s="231" t="str">
        <f>IF($AR$12="","",IF($JG$15=$HH$3,$JH$15,IF(AND($AL$15=$HH$3,$AP$15&lt;&gt;""),$AP$15,IF(AND($AL$15=$HH$3,$AP$15=""),$AQ$15,""))))</f>
        <v/>
      </c>
      <c r="HI79" s="302">
        <v>13</v>
      </c>
      <c r="HJ79" s="303" t="str">
        <f t="shared" si="198"/>
        <v/>
      </c>
      <c r="HK79" s="98" t="str">
        <f t="shared" si="194"/>
        <v/>
      </c>
      <c r="HL79" s="303"/>
      <c r="HM79" s="98" t="str">
        <f t="shared" si="195"/>
        <v/>
      </c>
    </row>
    <row r="80" spans="4:221" ht="12.75" customHeight="1">
      <c r="D80" s="8"/>
      <c r="E80" s="8"/>
      <c r="F80" s="8"/>
      <c r="G80" s="8"/>
      <c r="H80" s="8"/>
      <c r="M80" s="8"/>
      <c r="N80" s="8"/>
      <c r="S80" s="8"/>
      <c r="T80" s="8"/>
      <c r="U80" s="8"/>
      <c r="V80" s="8"/>
      <c r="W80" s="8"/>
      <c r="AH80" s="8"/>
      <c r="AI80" s="8"/>
      <c r="AJ80" s="8"/>
      <c r="AK80" s="8"/>
      <c r="BJ80" s="8"/>
      <c r="BY80" s="8"/>
      <c r="BZ80" s="8"/>
      <c r="CC80" s="8"/>
      <c r="CD80" s="8"/>
      <c r="CE80" s="8"/>
      <c r="CF80" s="8"/>
      <c r="CG80" s="16">
        <v>14</v>
      </c>
      <c r="CH80" s="13" t="str">
        <f t="shared" si="191"/>
        <v>Per-Anders Lindstrom</v>
      </c>
      <c r="CI80" s="14">
        <f t="shared" si="192"/>
        <v>2</v>
      </c>
      <c r="EZ80" s="13">
        <f t="shared" si="186"/>
        <v>1</v>
      </c>
      <c r="FA80" s="249">
        <f t="shared" si="187"/>
        <v>1</v>
      </c>
      <c r="FB80" s="486" t="str">
        <f t="shared" si="188"/>
        <v>Dimitry Koltakov</v>
      </c>
      <c r="FC80" s="574">
        <f t="shared" si="189"/>
        <v>21</v>
      </c>
      <c r="FD80" s="600">
        <f t="shared" si="190"/>
        <v>30</v>
      </c>
      <c r="GW80" s="1143">
        <v>18</v>
      </c>
      <c r="GX80" s="229" t="str">
        <f>IF($AR$16="","",IF($JG$16=$GX$3,$JH$16,IF(AND($AL$16=$GX$3,$AP$16&lt;&gt;""),$AP$16,IF(AND($AL$16=$GX$3,$AP$16=""),$AQ$16,""))))</f>
        <v/>
      </c>
      <c r="GY80" s="299">
        <v>12</v>
      </c>
      <c r="GZ80" s="300" t="str">
        <f t="shared" si="196"/>
        <v/>
      </c>
      <c r="HA80" s="93" t="str">
        <f t="shared" si="193"/>
        <v/>
      </c>
      <c r="HB80" s="300"/>
      <c r="HC80" s="93" t="str">
        <f t="shared" si="197"/>
        <v/>
      </c>
      <c r="HG80" s="1143">
        <v>18</v>
      </c>
      <c r="HH80" s="229" t="str">
        <f>IF($AR$16="","",IF($JG$16=$HH$3,$JH$16,IF(AND($AL$16=$HH$3,$AP$16&lt;&gt;""),$AP$16,IF(AND($AL$16=$HH$3,$AP$16=""),$AQ$16,""))))</f>
        <v/>
      </c>
      <c r="HI80" s="299">
        <v>12</v>
      </c>
      <c r="HJ80" s="300" t="str">
        <f t="shared" si="198"/>
        <v/>
      </c>
      <c r="HK80" s="93" t="str">
        <f t="shared" si="194"/>
        <v/>
      </c>
      <c r="HL80" s="300"/>
      <c r="HM80" s="93" t="str">
        <f t="shared" si="195"/>
        <v/>
      </c>
    </row>
    <row r="81" spans="4:221" ht="12.75" customHeight="1">
      <c r="D81" s="8"/>
      <c r="E81" s="8"/>
      <c r="F81" s="8"/>
      <c r="G81" s="8"/>
      <c r="H81" s="8"/>
      <c r="M81" s="8"/>
      <c r="N81" s="8"/>
      <c r="S81" s="8"/>
      <c r="T81" s="8"/>
      <c r="U81" s="8"/>
      <c r="V81" s="8"/>
      <c r="W81" s="8"/>
      <c r="AH81" s="8"/>
      <c r="AI81" s="8"/>
      <c r="AJ81" s="8"/>
      <c r="AK81" s="8"/>
      <c r="BJ81" s="8"/>
      <c r="BY81" s="8"/>
      <c r="BZ81" s="8"/>
      <c r="CC81" s="8"/>
      <c r="CD81" s="8"/>
      <c r="CE81" s="8"/>
      <c r="CF81" s="8"/>
      <c r="CG81" s="16">
        <v>15</v>
      </c>
      <c r="CH81" s="13" t="str">
        <f t="shared" si="191"/>
        <v>Stefan Pletschacher</v>
      </c>
      <c r="CI81" s="14">
        <f t="shared" si="192"/>
        <v>2</v>
      </c>
      <c r="EZ81" s="13">
        <f t="shared" si="186"/>
        <v>8</v>
      </c>
      <c r="FA81" s="249">
        <f t="shared" si="187"/>
        <v>8</v>
      </c>
      <c r="FB81" s="486" t="str">
        <f t="shared" si="188"/>
        <v>Stefan Svensson</v>
      </c>
      <c r="FC81" s="574">
        <f t="shared" si="189"/>
        <v>8</v>
      </c>
      <c r="FD81" s="600">
        <f t="shared" si="190"/>
        <v>8.0121105499999992</v>
      </c>
      <c r="GW81" s="1144"/>
      <c r="GX81" s="230" t="str">
        <f>IF($AR$16="","",IF($JG$17=$GX$3,$JH$17,IF(AND($AL$17=$GX$3,$AP$17&lt;&gt;""),$AP$17,IF(AND($AL$17=$GX$3,$AP$17=""),$AQ$17,""))))</f>
        <v/>
      </c>
      <c r="GY81" s="301">
        <v>11</v>
      </c>
      <c r="GZ81" s="5" t="str">
        <f t="shared" si="196"/>
        <v/>
      </c>
      <c r="HA81" s="95" t="str">
        <f t="shared" si="193"/>
        <v/>
      </c>
      <c r="HB81" s="5"/>
      <c r="HC81" s="95" t="str">
        <f t="shared" si="197"/>
        <v/>
      </c>
      <c r="HG81" s="1144"/>
      <c r="HH81" s="230" t="str">
        <f>IF($AR$16="","",IF($JG$17=$HH$3,$JH$17,IF(AND($AL$17=$HH$3,$AP$17&lt;&gt;""),$AP$17,IF(AND($AL$17=$HH$3,$AP$17=""),$AQ$17,""))))</f>
        <v/>
      </c>
      <c r="HI81" s="301">
        <v>11</v>
      </c>
      <c r="HJ81" s="5" t="str">
        <f t="shared" si="198"/>
        <v/>
      </c>
      <c r="HK81" s="95" t="str">
        <f t="shared" si="194"/>
        <v/>
      </c>
      <c r="HL81" s="5"/>
      <c r="HM81" s="95" t="str">
        <f t="shared" si="195"/>
        <v/>
      </c>
    </row>
    <row r="82" spans="4:221" ht="12.75" customHeight="1">
      <c r="D82" s="8"/>
      <c r="E82" s="8"/>
      <c r="F82" s="8"/>
      <c r="G82" s="8"/>
      <c r="H82" s="8"/>
      <c r="M82" s="8"/>
      <c r="N82" s="8"/>
      <c r="S82" s="8"/>
      <c r="T82" s="8"/>
      <c r="U82" s="8"/>
      <c r="V82" s="8"/>
      <c r="W82" s="8"/>
      <c r="AH82" s="8"/>
      <c r="AI82" s="8"/>
      <c r="AJ82" s="8"/>
      <c r="AK82" s="8"/>
      <c r="BJ82" s="8"/>
      <c r="BY82" s="8"/>
      <c r="BZ82" s="8"/>
      <c r="CC82" s="8"/>
      <c r="CD82" s="8"/>
      <c r="CE82" s="8"/>
      <c r="CF82" s="8"/>
      <c r="CG82" s="16">
        <v>16</v>
      </c>
      <c r="CH82" s="13" t="str">
        <f t="shared" si="191"/>
        <v>Simon Reitsma</v>
      </c>
      <c r="CI82" s="14">
        <f t="shared" si="192"/>
        <v>0</v>
      </c>
      <c r="EZ82" s="13">
        <f t="shared" si="186"/>
        <v>16</v>
      </c>
      <c r="FA82" s="249">
        <f t="shared" si="187"/>
        <v>16</v>
      </c>
      <c r="FB82" s="486" t="str">
        <f t="shared" si="188"/>
        <v>Simon Reitsma</v>
      </c>
      <c r="FC82" s="574">
        <f t="shared" si="189"/>
        <v>0</v>
      </c>
      <c r="FD82" s="600">
        <f t="shared" si="190"/>
        <v>5.0430000000000003E-5</v>
      </c>
      <c r="GW82" s="1144"/>
      <c r="GX82" s="230" t="str">
        <f>IF($AR$16="","",IF($JG$18=$GX$3,$JH$18,IF(AND($AL$18=$GX$3,$AP$18&lt;&gt;""),$AP$18,IF(AND($AL$18=$GX$3,$AP$18=""),$AQ$18,""))))</f>
        <v/>
      </c>
      <c r="GY82" s="301">
        <v>10</v>
      </c>
      <c r="GZ82" s="5" t="str">
        <f t="shared" si="196"/>
        <v/>
      </c>
      <c r="HA82" s="95" t="str">
        <f t="shared" si="193"/>
        <v/>
      </c>
      <c r="HB82" s="5"/>
      <c r="HC82" s="95" t="str">
        <f t="shared" si="197"/>
        <v/>
      </c>
      <c r="HG82" s="1144"/>
      <c r="HH82" s="230" t="str">
        <f>IF($AR$16="","",IF($JG$18=$HH$3,$JH$18,IF(AND($AL$18=$HH$3,$AP$18&lt;&gt;""),$AP$18,IF(AND($AL$18=$HH$3,$AP$18=""),$AQ$18,""))))</f>
        <v/>
      </c>
      <c r="HI82" s="301">
        <v>10</v>
      </c>
      <c r="HJ82" s="5" t="str">
        <f t="shared" si="198"/>
        <v/>
      </c>
      <c r="HK82" s="95" t="str">
        <f t="shared" si="194"/>
        <v/>
      </c>
      <c r="HL82" s="5"/>
      <c r="HM82" s="95" t="str">
        <f t="shared" si="195"/>
        <v/>
      </c>
    </row>
    <row r="83" spans="4:221" ht="12.75" customHeight="1" thickBot="1">
      <c r="D83" s="8"/>
      <c r="E83" s="8"/>
      <c r="F83" s="8"/>
      <c r="G83" s="8"/>
      <c r="H83" s="8"/>
      <c r="M83" s="8"/>
      <c r="N83" s="8"/>
      <c r="S83" s="8"/>
      <c r="T83" s="8"/>
      <c r="U83" s="8"/>
      <c r="V83" s="8"/>
      <c r="W83" s="8"/>
      <c r="AH83" s="8"/>
      <c r="AI83" s="8"/>
      <c r="AJ83" s="8"/>
      <c r="AK83" s="8"/>
      <c r="BJ83" s="8"/>
      <c r="BY83" s="8"/>
      <c r="BZ83" s="8"/>
      <c r="CC83" s="8"/>
      <c r="CD83" s="8"/>
      <c r="CE83" s="8"/>
      <c r="CF83" s="8"/>
      <c r="CG83" s="16">
        <v>17</v>
      </c>
      <c r="CH83" s="13" t="str">
        <f t="shared" si="191"/>
        <v>Rene Stellingwerf</v>
      </c>
      <c r="CI83" s="14">
        <f t="shared" si="192"/>
        <v>0</v>
      </c>
      <c r="EZ83" s="13">
        <f t="shared" si="186"/>
        <v>18</v>
      </c>
      <c r="FA83" s="251">
        <f t="shared" si="187"/>
        <v>18</v>
      </c>
      <c r="FB83" s="487" t="str">
        <f t="shared" si="188"/>
        <v>Max Niedermaier</v>
      </c>
      <c r="FC83" s="575">
        <f t="shared" si="189"/>
        <v>0</v>
      </c>
      <c r="FD83" s="600">
        <f t="shared" si="190"/>
        <v>4.2E-7</v>
      </c>
      <c r="GW83" s="1145"/>
      <c r="GX83" s="231" t="str">
        <f>IF($AR$16="","",IF($JG$19=$GX$3,$JH$19,IF(AND($AL$19=$GX$3,$AP$19&lt;&gt;""),$AP$19,IF(AND($AL$19=$GX$3,$AP$19=""),$AQ$19,""))))</f>
        <v/>
      </c>
      <c r="GY83" s="302">
        <v>9</v>
      </c>
      <c r="GZ83" s="303" t="str">
        <f t="shared" si="196"/>
        <v/>
      </c>
      <c r="HA83" s="98" t="str">
        <f t="shared" si="193"/>
        <v/>
      </c>
      <c r="HB83" s="303"/>
      <c r="HC83" s="98" t="str">
        <f t="shared" si="197"/>
        <v/>
      </c>
      <c r="HG83" s="1145"/>
      <c r="HH83" s="231" t="str">
        <f>IF($AR$16="","",IF($JG$19=$HH$3,$JH$19,IF(AND($AL$19=$HH$3,$AP$19&lt;&gt;""),$AP$19,IF(AND($AL$19=$HH$3,$AP$19=""),$AQ$19,""))))</f>
        <v/>
      </c>
      <c r="HI83" s="302">
        <v>9</v>
      </c>
      <c r="HJ83" s="303" t="str">
        <f t="shared" si="198"/>
        <v/>
      </c>
      <c r="HK83" s="98" t="str">
        <f t="shared" si="194"/>
        <v/>
      </c>
      <c r="HL83" s="303"/>
      <c r="HM83" s="98" t="str">
        <f t="shared" si="195"/>
        <v/>
      </c>
    </row>
    <row r="84" spans="4:221" ht="12.75" customHeight="1">
      <c r="D84" s="8"/>
      <c r="E84" s="8"/>
      <c r="F84" s="8"/>
      <c r="G84" s="8"/>
      <c r="H84" s="8"/>
      <c r="M84" s="8"/>
      <c r="N84" s="8"/>
      <c r="S84" s="8"/>
      <c r="T84" s="8"/>
      <c r="U84" s="8"/>
      <c r="V84" s="8"/>
      <c r="W84" s="8"/>
      <c r="AH84" s="8"/>
      <c r="AI84" s="8"/>
      <c r="AJ84" s="8"/>
      <c r="AK84" s="8"/>
      <c r="BJ84" s="8"/>
      <c r="BY84" s="8"/>
      <c r="BZ84" s="8"/>
      <c r="CC84" s="8"/>
      <c r="CD84" s="8"/>
      <c r="CE84" s="8"/>
      <c r="CF84" s="8"/>
      <c r="CG84" s="16">
        <v>18</v>
      </c>
      <c r="CH84" s="13" t="str">
        <f t="shared" si="191"/>
        <v>Max Niedermaier</v>
      </c>
      <c r="CI84" s="14">
        <f t="shared" si="192"/>
        <v>0</v>
      </c>
      <c r="GW84" s="1143">
        <v>19</v>
      </c>
      <c r="GX84" s="229" t="str">
        <f>IF($AR$20="","",IF($JG$20=$GX$3,$JH$20,IF(AND($AL$20=$GX$3,$AP$20&lt;&gt;""),$AP$20,IF(AND($AL$20=$GX$3,$AP$20=""),$AQ$20,""))))</f>
        <v/>
      </c>
      <c r="GY84" s="299">
        <v>8</v>
      </c>
      <c r="GZ84" s="300" t="str">
        <f t="shared" si="196"/>
        <v/>
      </c>
      <c r="HA84" s="93" t="str">
        <f t="shared" si="193"/>
        <v/>
      </c>
      <c r="HB84" s="300"/>
      <c r="HC84" s="93" t="str">
        <f t="shared" si="197"/>
        <v/>
      </c>
      <c r="HG84" s="1143">
        <v>19</v>
      </c>
      <c r="HH84" s="229" t="str">
        <f>IF($AR$20="","",IF($JG$20=$HH$3,$JH$20,IF(AND($AL$20=$HH$3,$AP$20&lt;&gt;""),$AP$20,IF(AND($AL$20=$HH$3,$AP$20=""),$AQ$20,""))))</f>
        <v/>
      </c>
      <c r="HI84" s="299">
        <v>8</v>
      </c>
      <c r="HJ84" s="300" t="str">
        <f t="shared" si="198"/>
        <v/>
      </c>
      <c r="HK84" s="93" t="str">
        <f t="shared" si="194"/>
        <v/>
      </c>
      <c r="HL84" s="300"/>
      <c r="HM84" s="93" t="str">
        <f t="shared" si="195"/>
        <v/>
      </c>
    </row>
    <row r="85" spans="4:221" ht="12.75" customHeight="1">
      <c r="D85" s="8"/>
      <c r="E85" s="8"/>
      <c r="F85" s="8"/>
      <c r="G85" s="8"/>
      <c r="H85" s="8"/>
      <c r="M85" s="8"/>
      <c r="N85" s="8"/>
      <c r="S85" s="8"/>
      <c r="T85" s="8"/>
      <c r="U85" s="8"/>
      <c r="V85" s="8"/>
      <c r="W85" s="8"/>
      <c r="AH85" s="8"/>
      <c r="AI85" s="8"/>
      <c r="AJ85" s="8"/>
      <c r="AK85" s="8"/>
      <c r="BJ85" s="8"/>
      <c r="BY85" s="8"/>
      <c r="BZ85" s="8"/>
      <c r="CC85" s="8"/>
      <c r="CD85" s="8"/>
      <c r="CE85" s="8"/>
      <c r="CF85" s="8"/>
      <c r="EZ85" s="1187" t="s">
        <v>190</v>
      </c>
      <c r="FA85" s="1188"/>
      <c r="FB85" s="1188"/>
      <c r="FC85" s="1188"/>
      <c r="FD85" s="1188"/>
      <c r="FE85" s="1188"/>
      <c r="FF85" s="1189"/>
      <c r="GW85" s="1144"/>
      <c r="GX85" s="230" t="str">
        <f>IF($AR$20="","",IF($JG$21=$GX$3,$JH$21,IF(AND($AL$21=$GX$3,$AP$21&lt;&gt;""),$AP$21,IF(AND($AL$21=$GX$3,$AP$21=""),$AQ$21,""))))</f>
        <v/>
      </c>
      <c r="GY85" s="301">
        <v>7</v>
      </c>
      <c r="GZ85" s="5" t="str">
        <f t="shared" si="196"/>
        <v/>
      </c>
      <c r="HA85" s="95" t="str">
        <f t="shared" si="193"/>
        <v/>
      </c>
      <c r="HB85" s="5"/>
      <c r="HC85" s="95" t="str">
        <f t="shared" si="197"/>
        <v/>
      </c>
      <c r="HG85" s="1144"/>
      <c r="HH85" s="230" t="str">
        <f>IF($AR$20="","",IF($JG$21=$HH$3,$JH$21,IF(AND($AL$21=$HH$3,$AP$21&lt;&gt;""),$AP$21,IF(AND($AL$21=$HH$3,$AP$21=""),$AQ$21,""))))</f>
        <v/>
      </c>
      <c r="HI85" s="301">
        <v>7</v>
      </c>
      <c r="HJ85" s="5" t="str">
        <f t="shared" si="198"/>
        <v/>
      </c>
      <c r="HK85" s="95" t="str">
        <f t="shared" si="194"/>
        <v/>
      </c>
      <c r="HL85" s="5"/>
      <c r="HM85" s="95" t="str">
        <f t="shared" si="195"/>
        <v/>
      </c>
    </row>
    <row r="86" spans="4:221" ht="12.75" customHeight="1">
      <c r="D86" s="8"/>
      <c r="E86" s="8"/>
      <c r="F86" s="8"/>
      <c r="G86" s="8"/>
      <c r="H86" s="8"/>
      <c r="M86" s="8"/>
      <c r="N86" s="8"/>
      <c r="S86" s="8"/>
      <c r="T86" s="8"/>
      <c r="U86" s="8"/>
      <c r="V86" s="8"/>
      <c r="W86" s="8"/>
      <c r="AH86" s="8"/>
      <c r="AI86" s="8"/>
      <c r="AJ86" s="8"/>
      <c r="AK86" s="8"/>
      <c r="BJ86" s="8"/>
      <c r="BY86" s="8"/>
      <c r="BZ86" s="8"/>
      <c r="CC86" s="8"/>
      <c r="CD86" s="8"/>
      <c r="CE86" s="8"/>
      <c r="CF86" s="8"/>
      <c r="CG86" s="1108" t="s">
        <v>216</v>
      </c>
      <c r="CH86" s="1109"/>
      <c r="CI86" s="1110"/>
      <c r="FA86" s="497">
        <f t="shared" ref="FA86:FA103" si="199">RANK(FD86,FD$86:FD$103)</f>
        <v>14</v>
      </c>
      <c r="FB86" s="498" t="str">
        <f t="shared" ref="FB86:FB103" si="200">FB3</f>
        <v>Per-Anders Lindstrom</v>
      </c>
      <c r="FC86" s="573">
        <f t="shared" ref="FC86:FC103" si="201">DC3</f>
        <v>2</v>
      </c>
      <c r="FD86" s="600">
        <f t="shared" ref="FD86:FD103" si="202">DP3</f>
        <v>2.0002315100000003</v>
      </c>
      <c r="GW86" s="1144"/>
      <c r="GX86" s="230" t="str">
        <f>IF($AR$20="","",IF($JG$22=$GX$3,$JH$22,IF(AND($AL$22=$GX$3,$AP$22&lt;&gt;""),$AP$22,IF(AND($AL$22=$GX$3,$AP$22=""),$AQ$22,""))))</f>
        <v/>
      </c>
      <c r="GY86" s="301">
        <v>6</v>
      </c>
      <c r="GZ86" s="5" t="str">
        <f t="shared" si="196"/>
        <v/>
      </c>
      <c r="HA86" s="95" t="str">
        <f t="shared" si="193"/>
        <v/>
      </c>
      <c r="HB86" s="5"/>
      <c r="HC86" s="95" t="str">
        <f t="shared" si="197"/>
        <v/>
      </c>
      <c r="HG86" s="1144"/>
      <c r="HH86" s="230" t="str">
        <f>IF($AR$20="","",IF($JG$22=$HH$3,$JH$22,IF(AND($AL$22=$HH$3,$AP$22&lt;&gt;""),$AP$22,IF(AND($AL$22=$HH$3,$AP$22=""),$AQ$22,""))))</f>
        <v/>
      </c>
      <c r="HI86" s="301">
        <v>6</v>
      </c>
      <c r="HJ86" s="5" t="str">
        <f t="shared" si="198"/>
        <v/>
      </c>
      <c r="HK86" s="95" t="str">
        <f t="shared" si="194"/>
        <v/>
      </c>
      <c r="HL86" s="5"/>
      <c r="HM86" s="95" t="str">
        <f t="shared" si="195"/>
        <v/>
      </c>
    </row>
    <row r="87" spans="4:221" ht="12.75" customHeight="1" thickBot="1">
      <c r="D87" s="8"/>
      <c r="E87" s="8"/>
      <c r="F87" s="8"/>
      <c r="G87" s="8"/>
      <c r="H87" s="8"/>
      <c r="M87" s="8"/>
      <c r="N87" s="8"/>
      <c r="S87" s="8"/>
      <c r="T87" s="8"/>
      <c r="U87" s="8"/>
      <c r="V87" s="8"/>
      <c r="W87" s="8"/>
      <c r="AH87" s="8"/>
      <c r="AI87" s="8"/>
      <c r="AJ87" s="8"/>
      <c r="AK87" s="8"/>
      <c r="BJ87" s="8"/>
      <c r="BY87" s="8"/>
      <c r="BZ87" s="8"/>
      <c r="CC87" s="8"/>
      <c r="CD87" s="8"/>
      <c r="CE87" s="8"/>
      <c r="CF87" s="8"/>
      <c r="CG87" s="13">
        <v>1</v>
      </c>
      <c r="CH87" s="13" t="str">
        <f>VLOOKUP(CG87,CU$47:CW$64,3,FALSE)</f>
        <v>Daniil Ivanov</v>
      </c>
      <c r="CI87" s="711">
        <f>VLOOKUP(CG87,CU$47:DC$64,9,FALSE)</f>
        <v>9</v>
      </c>
      <c r="FA87" s="249">
        <f t="shared" si="199"/>
        <v>2</v>
      </c>
      <c r="FB87" s="486" t="str">
        <f t="shared" si="200"/>
        <v>Dimitry Khomitsevich</v>
      </c>
      <c r="FC87" s="574">
        <f t="shared" si="201"/>
        <v>14</v>
      </c>
      <c r="FD87" s="600">
        <f t="shared" si="202"/>
        <v>14.041000569999998</v>
      </c>
      <c r="GW87" s="1145"/>
      <c r="GX87" s="231">
        <f>IF($AR$20="","",IF($JG$23=$GX$3,$JH$23,IF(AND($AL$23=$GX$3,$AP$23&lt;&gt;""),$AP$23,IF(AND($AL$23=$GX$3,$AP$23=""),$AQ$23,""))))</f>
        <v>0</v>
      </c>
      <c r="GY87" s="302">
        <v>5</v>
      </c>
      <c r="GZ87" s="303">
        <f t="shared" si="196"/>
        <v>5</v>
      </c>
      <c r="HA87" s="98">
        <f t="shared" si="193"/>
        <v>5</v>
      </c>
      <c r="HB87" s="303"/>
      <c r="HC87" s="98">
        <f t="shared" si="197"/>
        <v>0</v>
      </c>
      <c r="HG87" s="1145"/>
      <c r="HH87" s="231" t="str">
        <f>IF($AR$20="","",IF($JG$23=$HH$3,$JH$23,IF(AND($AL$23=$HH$3,$AP$23&lt;&gt;""),$AP$23,IF(AND($AL$23=$HH$3,$AP$23=""),$AQ$23,""))))</f>
        <v/>
      </c>
      <c r="HI87" s="302">
        <v>5</v>
      </c>
      <c r="HJ87" s="303" t="str">
        <f t="shared" si="198"/>
        <v/>
      </c>
      <c r="HK87" s="98" t="str">
        <f t="shared" si="194"/>
        <v/>
      </c>
      <c r="HL87" s="303"/>
      <c r="HM87" s="98" t="str">
        <f t="shared" si="195"/>
        <v/>
      </c>
    </row>
    <row r="88" spans="4:221" ht="12.75" customHeight="1">
      <c r="D88" s="8"/>
      <c r="E88" s="8"/>
      <c r="F88" s="8"/>
      <c r="G88" s="8"/>
      <c r="H88" s="8"/>
      <c r="M88" s="8"/>
      <c r="N88" s="8"/>
      <c r="S88" s="8"/>
      <c r="T88" s="8"/>
      <c r="U88" s="8"/>
      <c r="V88" s="8"/>
      <c r="W88" s="8"/>
      <c r="AH88" s="8"/>
      <c r="AI88" s="8"/>
      <c r="AJ88" s="8"/>
      <c r="AK88" s="8"/>
      <c r="BJ88" s="8"/>
      <c r="BY88" s="8"/>
      <c r="BZ88" s="8"/>
      <c r="CC88" s="8"/>
      <c r="CD88" s="8"/>
      <c r="CE88" s="8"/>
      <c r="CF88" s="8"/>
      <c r="CG88" s="13">
        <v>2</v>
      </c>
      <c r="CH88" s="13" t="str">
        <f t="shared" ref="CH88:CH104" si="203">VLOOKUP(CG88,CU$47:CW$64,3,FALSE)</f>
        <v>Dimitry Koltakov</v>
      </c>
      <c r="CI88" s="711">
        <f t="shared" ref="CI88:CI104" si="204">VLOOKUP(CG88,CU$47:DC$64,9,FALSE)</f>
        <v>9</v>
      </c>
      <c r="FA88" s="249">
        <f t="shared" si="199"/>
        <v>6</v>
      </c>
      <c r="FB88" s="486" t="str">
        <f t="shared" si="200"/>
        <v>Franz Zorn</v>
      </c>
      <c r="FC88" s="574">
        <f t="shared" si="201"/>
        <v>10</v>
      </c>
      <c r="FD88" s="600">
        <f t="shared" si="202"/>
        <v>10.0131005</v>
      </c>
      <c r="GW88" s="1143">
        <v>20</v>
      </c>
      <c r="GX88" s="229" t="str">
        <f>IF($AR$24="","",IF($JG$24=$GX$3,$JH$24,IF(AND($AL$24=$GX$3,$AP$24&lt;&gt;""),$AP$24,IF(AND($AL$24=$GX$3,$AP$24=""),$AQ$24,""))))</f>
        <v/>
      </c>
      <c r="GY88" s="299">
        <v>4</v>
      </c>
      <c r="GZ88" s="300" t="str">
        <f t="shared" si="196"/>
        <v/>
      </c>
      <c r="HA88" s="93" t="str">
        <f t="shared" si="193"/>
        <v/>
      </c>
      <c r="HB88" s="300"/>
      <c r="HC88" s="93" t="str">
        <f t="shared" si="197"/>
        <v/>
      </c>
      <c r="HG88" s="1143">
        <v>20</v>
      </c>
      <c r="HH88" s="229" t="str">
        <f>IF($AR$24="","",IF($JG$24=$HH$3,$JH$24,IF(AND($AL$24=$HH$3,$AP$24&lt;&gt;""),$AP$24,IF(AND($AL$24=$HH$3,$AP$24=""),$AQ$24,""))))</f>
        <v/>
      </c>
      <c r="HI88" s="299">
        <v>4</v>
      </c>
      <c r="HJ88" s="300" t="str">
        <f t="shared" si="198"/>
        <v/>
      </c>
      <c r="HK88" s="93" t="str">
        <f t="shared" si="194"/>
        <v/>
      </c>
      <c r="HL88" s="300"/>
      <c r="HM88" s="93" t="str">
        <f t="shared" si="195"/>
        <v/>
      </c>
    </row>
    <row r="89" spans="4:221" ht="12.75" customHeight="1">
      <c r="D89" s="8"/>
      <c r="E89" s="8"/>
      <c r="F89" s="8"/>
      <c r="G89" s="8"/>
      <c r="H89" s="8"/>
      <c r="M89" s="8"/>
      <c r="N89" s="8"/>
      <c r="S89" s="8"/>
      <c r="T89" s="8"/>
      <c r="U89" s="8"/>
      <c r="V89" s="8"/>
      <c r="W89" s="8"/>
      <c r="AH89" s="8"/>
      <c r="AI89" s="8"/>
      <c r="AJ89" s="8"/>
      <c r="AK89" s="8"/>
      <c r="BJ89" s="8"/>
      <c r="BY89" s="8"/>
      <c r="BZ89" s="8"/>
      <c r="CC89" s="8"/>
      <c r="CD89" s="8"/>
      <c r="CE89" s="8"/>
      <c r="CF89" s="8"/>
      <c r="CG89" s="13">
        <v>3</v>
      </c>
      <c r="CH89" s="13" t="str">
        <f t="shared" si="203"/>
        <v>Dimitry Khomitsevich</v>
      </c>
      <c r="CI89" s="711">
        <f t="shared" si="204"/>
        <v>8</v>
      </c>
      <c r="CR89" s="1240" t="s">
        <v>54</v>
      </c>
      <c r="CS89" s="1240"/>
      <c r="CT89" s="1240"/>
      <c r="CU89" s="1240"/>
      <c r="CV89" s="1240"/>
      <c r="CW89" s="1240"/>
      <c r="CX89" s="1240"/>
      <c r="CY89" s="1240"/>
      <c r="CZ89" s="1240"/>
      <c r="DA89" s="1240"/>
      <c r="DB89" s="1240"/>
      <c r="DC89" s="198"/>
      <c r="FA89" s="249">
        <f t="shared" si="199"/>
        <v>12</v>
      </c>
      <c r="FB89" s="486" t="str">
        <f t="shared" si="200"/>
        <v>Jan Klatovsky</v>
      </c>
      <c r="FC89" s="574">
        <f t="shared" si="201"/>
        <v>4</v>
      </c>
      <c r="FD89" s="600">
        <f t="shared" si="202"/>
        <v>4.0012215400000013</v>
      </c>
      <c r="GW89" s="1144"/>
      <c r="GX89" s="230" t="str">
        <f>IF($AR$24="","",IF($JG$25=$GX$3,$JH$25,IF(AND($AL$25=$GX$3,$AP$25&lt;&gt;""),$AP$25,IF(AND($AL$25=$GX$3,$AP$25=""),$AQ$25,""))))</f>
        <v/>
      </c>
      <c r="GY89" s="301">
        <v>3</v>
      </c>
      <c r="GZ89" s="5" t="str">
        <f t="shared" si="196"/>
        <v/>
      </c>
      <c r="HA89" s="95" t="str">
        <f t="shared" si="193"/>
        <v/>
      </c>
      <c r="HB89" s="5"/>
      <c r="HC89" s="95" t="str">
        <f t="shared" si="197"/>
        <v/>
      </c>
      <c r="HG89" s="1144"/>
      <c r="HH89" s="230" t="str">
        <f>IF($AR$24="","",IF($JG$25=$HH$3,$JH$25,IF(AND($AL$25=$HH$3,$AP$25&lt;&gt;""),$AP$25,IF(AND($AL$25=$HH$3,$AP$25=""),$AQ$25,""))))</f>
        <v/>
      </c>
      <c r="HI89" s="301">
        <v>3</v>
      </c>
      <c r="HJ89" s="5" t="str">
        <f t="shared" si="198"/>
        <v/>
      </c>
      <c r="HK89" s="95" t="str">
        <f t="shared" si="194"/>
        <v/>
      </c>
      <c r="HL89" s="5"/>
      <c r="HM89" s="95" t="str">
        <f t="shared" si="195"/>
        <v/>
      </c>
    </row>
    <row r="90" spans="4:221" ht="12.75" customHeight="1">
      <c r="D90" s="8"/>
      <c r="E90" s="8"/>
      <c r="F90" s="8"/>
      <c r="G90" s="8"/>
      <c r="H90" s="8"/>
      <c r="M90" s="8"/>
      <c r="N90" s="8"/>
      <c r="S90" s="8"/>
      <c r="T90" s="8"/>
      <c r="U90" s="8"/>
      <c r="V90" s="8"/>
      <c r="W90" s="8"/>
      <c r="AH90" s="8"/>
      <c r="AI90" s="8"/>
      <c r="AJ90" s="8"/>
      <c r="AK90" s="8"/>
      <c r="BJ90" s="8"/>
      <c r="BY90" s="8"/>
      <c r="BZ90" s="8"/>
      <c r="CC90" s="8"/>
      <c r="CD90" s="8"/>
      <c r="CE90" s="8"/>
      <c r="CF90" s="8"/>
      <c r="CG90" s="13">
        <v>4</v>
      </c>
      <c r="CH90" s="13" t="str">
        <f t="shared" si="203"/>
        <v>Igor Kononov</v>
      </c>
      <c r="CI90" s="711">
        <f t="shared" si="204"/>
        <v>8</v>
      </c>
      <c r="CR90" s="1240"/>
      <c r="CS90" s="1240"/>
      <c r="CT90" s="1240"/>
      <c r="CU90" s="1240"/>
      <c r="CV90" s="1240"/>
      <c r="CW90" s="1240"/>
      <c r="CX90" s="1240"/>
      <c r="CY90" s="1240"/>
      <c r="CZ90" s="1240"/>
      <c r="DA90" s="1240"/>
      <c r="DB90" s="1240"/>
      <c r="DC90" s="198"/>
      <c r="FA90" s="249">
        <f t="shared" si="199"/>
        <v>10</v>
      </c>
      <c r="FB90" s="486" t="str">
        <f t="shared" si="200"/>
        <v>Antonin Klatovsky</v>
      </c>
      <c r="FC90" s="574">
        <f t="shared" si="201"/>
        <v>5</v>
      </c>
      <c r="FD90" s="600">
        <f t="shared" si="202"/>
        <v>5.0102204600000002</v>
      </c>
      <c r="GW90" s="1144"/>
      <c r="GX90" s="230" t="str">
        <f>IF($AR$24="","",IF($JG$26=$GX$3,$JH$26,IF(AND($AL$26=$GX$3,$AP$26&lt;&gt;""),$AP$26,IF(AND($AL$26=$GX$3,$AP$26=""),$AQ$26,""))))</f>
        <v/>
      </c>
      <c r="GY90" s="301">
        <v>2</v>
      </c>
      <c r="GZ90" s="5" t="str">
        <f t="shared" si="196"/>
        <v/>
      </c>
      <c r="HA90" s="95" t="str">
        <f t="shared" si="193"/>
        <v/>
      </c>
      <c r="HB90" s="5"/>
      <c r="HC90" s="95" t="str">
        <f t="shared" si="197"/>
        <v/>
      </c>
      <c r="HG90" s="1144"/>
      <c r="HH90" s="230" t="str">
        <f>IF($AR$24="","",IF($JG$26=$HH$3,$JH$26,IF(AND($AL$26=$HH$3,$AP$26&lt;&gt;""),$AP$26,IF(AND($AL$26=$HH$3,$AP$26=""),$AQ$26,""))))</f>
        <v/>
      </c>
      <c r="HI90" s="301">
        <v>2</v>
      </c>
      <c r="HJ90" s="5" t="str">
        <f t="shared" si="198"/>
        <v/>
      </c>
      <c r="HK90" s="95" t="str">
        <f t="shared" si="194"/>
        <v/>
      </c>
      <c r="HL90" s="5"/>
      <c r="HM90" s="95" t="str">
        <f t="shared" si="195"/>
        <v/>
      </c>
    </row>
    <row r="91" spans="4:221" ht="12.75" customHeight="1" thickBot="1">
      <c r="D91" s="8"/>
      <c r="E91" s="8"/>
      <c r="F91" s="8"/>
      <c r="G91" s="8"/>
      <c r="H91" s="8"/>
      <c r="M91" s="8"/>
      <c r="N91" s="8"/>
      <c r="S91" s="8"/>
      <c r="T91" s="8"/>
      <c r="U91" s="8"/>
      <c r="V91" s="8"/>
      <c r="W91" s="8"/>
      <c r="AH91" s="8"/>
      <c r="AI91" s="8"/>
      <c r="AJ91" s="8"/>
      <c r="AK91" s="8"/>
      <c r="BJ91" s="8"/>
      <c r="BY91" s="8"/>
      <c r="BZ91" s="8"/>
      <c r="CC91" s="8"/>
      <c r="CD91" s="8"/>
      <c r="CE91" s="8"/>
      <c r="CF91" s="8"/>
      <c r="CG91" s="13">
        <v>5</v>
      </c>
      <c r="CH91" s="13" t="str">
        <f t="shared" si="203"/>
        <v>Stefan Svensson</v>
      </c>
      <c r="CI91" s="711">
        <f t="shared" si="204"/>
        <v>6</v>
      </c>
      <c r="CR91" s="1240"/>
      <c r="CS91" s="1240"/>
      <c r="CT91" s="1240"/>
      <c r="CU91" s="1240"/>
      <c r="CV91" s="1240"/>
      <c r="CW91" s="1240"/>
      <c r="CX91" s="1240"/>
      <c r="CY91" s="1240"/>
      <c r="CZ91" s="1240"/>
      <c r="DA91" s="1240"/>
      <c r="DB91" s="1240"/>
      <c r="DC91" s="198"/>
      <c r="FA91" s="249">
        <f t="shared" si="199"/>
        <v>17</v>
      </c>
      <c r="FB91" s="486" t="str">
        <f t="shared" si="200"/>
        <v>Rene Stellingwerf</v>
      </c>
      <c r="FC91" s="574">
        <f t="shared" si="201"/>
        <v>0</v>
      </c>
      <c r="FD91" s="600">
        <f t="shared" si="202"/>
        <v>4.4000000000000002E-7</v>
      </c>
      <c r="GW91" s="1145"/>
      <c r="GX91" s="231" t="str">
        <f>IF($AR$24="","",IF($JG$27=$GX$3,$JH$27,IF(AND($AL$27=$GX$3,$AP$27&lt;&gt;""),$AP$27,IF(AND($AL$27=$GX$3,$AP$27=""),$AQ$27,""))))</f>
        <v/>
      </c>
      <c r="GY91" s="302">
        <v>1</v>
      </c>
      <c r="GZ91" s="303" t="str">
        <f t="shared" si="196"/>
        <v/>
      </c>
      <c r="HA91" s="98" t="str">
        <f t="shared" si="193"/>
        <v/>
      </c>
      <c r="HB91" s="303"/>
      <c r="HC91" s="98" t="str">
        <f t="shared" si="197"/>
        <v/>
      </c>
      <c r="HG91" s="1145"/>
      <c r="HH91" s="231" t="str">
        <f>IF($AR$24="","",IF($JG$27=$HH$3,$JH$27,IF(AND($AL$27=$HH$3,$AP$27&lt;&gt;""),$AP$27,IF(AND($AL$27=$HH$3,$AP$27=""),$AQ$27,""))))</f>
        <v/>
      </c>
      <c r="HI91" s="302">
        <v>1</v>
      </c>
      <c r="HJ91" s="303" t="str">
        <f t="shared" si="198"/>
        <v/>
      </c>
      <c r="HK91" s="98" t="str">
        <f t="shared" si="194"/>
        <v/>
      </c>
      <c r="HL91" s="303"/>
      <c r="HM91" s="98" t="str">
        <f t="shared" si="195"/>
        <v/>
      </c>
    </row>
    <row r="92" spans="4:221" ht="12.75" customHeight="1" thickBot="1">
      <c r="D92" s="8"/>
      <c r="E92" s="8"/>
      <c r="F92" s="8"/>
      <c r="G92" s="8"/>
      <c r="H92" s="8"/>
      <c r="M92" s="8"/>
      <c r="N92" s="8"/>
      <c r="S92" s="8"/>
      <c r="T92" s="8"/>
      <c r="U92" s="8"/>
      <c r="V92" s="8"/>
      <c r="W92" s="8"/>
      <c r="AH92" s="8"/>
      <c r="AI92" s="8"/>
      <c r="AJ92" s="8"/>
      <c r="AK92" s="8"/>
      <c r="BJ92" s="8"/>
      <c r="BY92" s="8"/>
      <c r="BZ92" s="8"/>
      <c r="CC92" s="8"/>
      <c r="CD92" s="8"/>
      <c r="CE92" s="8"/>
      <c r="CF92" s="8"/>
      <c r="CG92" s="13">
        <v>6</v>
      </c>
      <c r="CH92" s="13" t="str">
        <f t="shared" si="203"/>
        <v>Vitaly Khomitsevich</v>
      </c>
      <c r="CI92" s="711">
        <f t="shared" si="204"/>
        <v>6</v>
      </c>
      <c r="CR92" s="198"/>
      <c r="CS92" s="263"/>
      <c r="CT92" s="198"/>
      <c r="CU92" s="198"/>
      <c r="CV92" s="198"/>
      <c r="CW92" s="198"/>
      <c r="CX92" s="198"/>
      <c r="CY92" s="198"/>
      <c r="CZ92" s="198"/>
      <c r="DA92" s="198"/>
      <c r="DB92" s="198"/>
      <c r="DC92" s="198"/>
      <c r="FA92" s="249">
        <f t="shared" si="199"/>
        <v>4</v>
      </c>
      <c r="FB92" s="486" t="str">
        <f t="shared" si="200"/>
        <v>Igor Kononov</v>
      </c>
      <c r="FC92" s="574">
        <f t="shared" si="201"/>
        <v>12</v>
      </c>
      <c r="FD92" s="600">
        <f t="shared" si="202"/>
        <v>12.031100559999999</v>
      </c>
    </row>
    <row r="93" spans="4:221" ht="12.75" customHeight="1" thickBot="1">
      <c r="D93" s="8"/>
      <c r="E93" s="8"/>
      <c r="F93" s="8"/>
      <c r="G93" s="8"/>
      <c r="H93" s="8"/>
      <c r="M93" s="8"/>
      <c r="N93" s="8"/>
      <c r="S93" s="8"/>
      <c r="T93" s="8"/>
      <c r="U93" s="8"/>
      <c r="V93" s="8"/>
      <c r="W93" s="8"/>
      <c r="AH93" s="8"/>
      <c r="AI93" s="8"/>
      <c r="AJ93" s="8"/>
      <c r="AK93" s="8"/>
      <c r="BJ93" s="8"/>
      <c r="BY93" s="8"/>
      <c r="BZ93" s="8"/>
      <c r="CC93" s="8"/>
      <c r="CD93" s="8"/>
      <c r="CE93" s="8"/>
      <c r="CF93" s="8"/>
      <c r="CG93" s="13">
        <v>7</v>
      </c>
      <c r="CH93" s="13" t="str">
        <f t="shared" si="203"/>
        <v>Gunter Bauer</v>
      </c>
      <c r="CI93" s="711">
        <f t="shared" si="204"/>
        <v>5</v>
      </c>
      <c r="CR93" s="198"/>
      <c r="CS93" s="1251" t="s">
        <v>45</v>
      </c>
      <c r="CT93" s="1262" t="s">
        <v>44</v>
      </c>
      <c r="CU93" s="1263"/>
      <c r="CV93" s="1263"/>
      <c r="CW93" s="1263"/>
      <c r="CX93" s="1263"/>
      <c r="CY93" s="1263"/>
      <c r="CZ93" s="1263"/>
      <c r="DA93" s="1263"/>
      <c r="DB93" s="1263"/>
      <c r="DC93" s="1263"/>
      <c r="DD93" s="1264"/>
      <c r="FA93" s="249">
        <f t="shared" si="199"/>
        <v>7</v>
      </c>
      <c r="FB93" s="486" t="str">
        <f t="shared" si="200"/>
        <v>Gunter Bauer</v>
      </c>
      <c r="FC93" s="574">
        <f t="shared" si="201"/>
        <v>9</v>
      </c>
      <c r="FD93" s="600">
        <f t="shared" si="202"/>
        <v>9.0041005299999988</v>
      </c>
    </row>
    <row r="94" spans="4:221" ht="12.75" customHeight="1">
      <c r="D94" s="8"/>
      <c r="E94" s="8"/>
      <c r="F94" s="8"/>
      <c r="G94" s="8"/>
      <c r="H94" s="8"/>
      <c r="M94" s="8"/>
      <c r="N94" s="8"/>
      <c r="S94" s="8"/>
      <c r="T94" s="8"/>
      <c r="U94" s="8"/>
      <c r="V94" s="8"/>
      <c r="W94" s="8"/>
      <c r="AH94" s="8"/>
      <c r="AI94" s="8"/>
      <c r="AJ94" s="8"/>
      <c r="AK94" s="8"/>
      <c r="BJ94" s="8"/>
      <c r="BY94" s="8"/>
      <c r="BZ94" s="8"/>
      <c r="CC94" s="8"/>
      <c r="CD94" s="8"/>
      <c r="CE94" s="8"/>
      <c r="CF94" s="8"/>
      <c r="CG94" s="13">
        <v>8</v>
      </c>
      <c r="CH94" s="13" t="str">
        <f t="shared" si="203"/>
        <v>Franz Zorn</v>
      </c>
      <c r="CI94" s="711">
        <f t="shared" si="204"/>
        <v>5</v>
      </c>
      <c r="CS94" s="1252"/>
      <c r="CT94" s="1181" t="s">
        <v>42</v>
      </c>
      <c r="CU94" s="1182"/>
      <c r="CV94" s="1182"/>
      <c r="CW94" s="1182"/>
      <c r="CX94" s="1182"/>
      <c r="CY94" s="1182"/>
      <c r="CZ94" s="1182"/>
      <c r="DA94" s="1182"/>
      <c r="DB94" s="1182"/>
      <c r="DC94" s="1182"/>
      <c r="DD94" s="1183"/>
      <c r="FA94" s="249">
        <f t="shared" si="199"/>
        <v>3</v>
      </c>
      <c r="FB94" s="486" t="str">
        <f t="shared" si="200"/>
        <v>Daniil Ivanov</v>
      </c>
      <c r="FC94" s="574">
        <f t="shared" si="201"/>
        <v>13</v>
      </c>
      <c r="FD94" s="600">
        <f t="shared" si="202"/>
        <v>13.032000590000001</v>
      </c>
    </row>
    <row r="95" spans="4:221" ht="12.75" customHeight="1" thickBot="1">
      <c r="D95" s="8"/>
      <c r="E95" s="8"/>
      <c r="F95" s="8"/>
      <c r="G95" s="8"/>
      <c r="H95" s="8"/>
      <c r="M95" s="8"/>
      <c r="N95" s="8"/>
      <c r="S95" s="8"/>
      <c r="T95" s="8"/>
      <c r="U95" s="8"/>
      <c r="V95" s="8"/>
      <c r="W95" s="8"/>
      <c r="AH95" s="8"/>
      <c r="AI95" s="8"/>
      <c r="AJ95" s="8"/>
      <c r="AK95" s="8"/>
      <c r="BJ95" s="8"/>
      <c r="BY95" s="8"/>
      <c r="BZ95" s="8"/>
      <c r="CC95" s="8"/>
      <c r="CD95" s="8"/>
      <c r="CE95" s="8"/>
      <c r="CF95" s="8"/>
      <c r="CG95" s="13">
        <v>9</v>
      </c>
      <c r="CH95" s="13" t="str">
        <f t="shared" si="203"/>
        <v>Hans Weber</v>
      </c>
      <c r="CI95" s="711">
        <f t="shared" si="204"/>
        <v>4</v>
      </c>
      <c r="CS95" s="1253"/>
      <c r="CT95" s="1260" t="s">
        <v>49</v>
      </c>
      <c r="CU95" s="1228"/>
      <c r="CV95" s="1228"/>
      <c r="CW95" s="1228"/>
      <c r="CX95" s="1228"/>
      <c r="CY95" s="1228"/>
      <c r="CZ95" s="1228"/>
      <c r="DA95" s="1228"/>
      <c r="DB95" s="1228"/>
      <c r="DC95" s="1228"/>
      <c r="DD95" s="1261"/>
      <c r="FA95" s="249">
        <f t="shared" si="199"/>
        <v>9</v>
      </c>
      <c r="FB95" s="486" t="str">
        <f t="shared" si="200"/>
        <v>Hans Weber</v>
      </c>
      <c r="FC95" s="574">
        <f t="shared" si="201"/>
        <v>6</v>
      </c>
      <c r="FD95" s="600">
        <f t="shared" si="202"/>
        <v>6.0022104799999996</v>
      </c>
    </row>
    <row r="96" spans="4:221" ht="12.75" customHeight="1" thickBot="1">
      <c r="D96" s="8"/>
      <c r="E96" s="8"/>
      <c r="F96" s="8"/>
      <c r="G96" s="8"/>
      <c r="H96" s="8"/>
      <c r="M96" s="8"/>
      <c r="N96" s="8"/>
      <c r="S96" s="8"/>
      <c r="T96" s="8"/>
      <c r="U96" s="8"/>
      <c r="V96" s="8"/>
      <c r="W96" s="8"/>
      <c r="AH96" s="8"/>
      <c r="AI96" s="8"/>
      <c r="AJ96" s="8"/>
      <c r="AK96" s="8"/>
      <c r="BJ96" s="8"/>
      <c r="BY96" s="8"/>
      <c r="BZ96" s="8"/>
      <c r="CC96" s="8"/>
      <c r="CD96" s="8"/>
      <c r="CE96" s="8"/>
      <c r="CF96" s="8"/>
      <c r="CG96" s="13">
        <v>10</v>
      </c>
      <c r="CH96" s="13" t="str">
        <f t="shared" si="203"/>
        <v>Daniel Henderson</v>
      </c>
      <c r="CI96" s="711">
        <f t="shared" si="204"/>
        <v>4</v>
      </c>
      <c r="FA96" s="249">
        <f t="shared" si="199"/>
        <v>13</v>
      </c>
      <c r="FB96" s="499" t="str">
        <f t="shared" si="200"/>
        <v>Harald Simon</v>
      </c>
      <c r="FC96" s="574">
        <f t="shared" si="201"/>
        <v>4</v>
      </c>
      <c r="FD96" s="600">
        <f t="shared" si="202"/>
        <v>4.0012204500000008</v>
      </c>
    </row>
    <row r="97" spans="4:216" ht="12.75" customHeight="1">
      <c r="D97" s="8"/>
      <c r="E97" s="8"/>
      <c r="F97" s="8"/>
      <c r="G97" s="8"/>
      <c r="H97" s="8"/>
      <c r="M97" s="8"/>
      <c r="N97" s="8"/>
      <c r="S97" s="8"/>
      <c r="T97" s="8"/>
      <c r="U97" s="8"/>
      <c r="V97" s="8"/>
      <c r="W97" s="8"/>
      <c r="AH97" s="8"/>
      <c r="AI97" s="8"/>
      <c r="AJ97" s="8"/>
      <c r="AK97" s="8"/>
      <c r="BJ97" s="8"/>
      <c r="BY97" s="8"/>
      <c r="BZ97" s="8"/>
      <c r="CC97" s="8"/>
      <c r="CD97" s="8"/>
      <c r="CE97" s="8"/>
      <c r="CF97" s="8"/>
      <c r="CG97" s="13">
        <v>11</v>
      </c>
      <c r="CH97" s="13" t="str">
        <f t="shared" si="203"/>
        <v>Harald Simon</v>
      </c>
      <c r="CI97" s="711">
        <f t="shared" si="204"/>
        <v>3</v>
      </c>
      <c r="CS97" s="1249" t="s">
        <v>46</v>
      </c>
      <c r="CT97" s="1181" t="s">
        <v>43</v>
      </c>
      <c r="CU97" s="1182"/>
      <c r="CV97" s="1182"/>
      <c r="CW97" s="1182"/>
      <c r="CX97" s="1182"/>
      <c r="CY97" s="1182"/>
      <c r="CZ97" s="1182"/>
      <c r="DA97" s="1182"/>
      <c r="DB97" s="1182"/>
      <c r="DC97" s="1182"/>
      <c r="DD97" s="1183"/>
      <c r="FA97" s="249">
        <f t="shared" si="199"/>
        <v>5</v>
      </c>
      <c r="FB97" s="486" t="str">
        <f t="shared" si="200"/>
        <v>Vitaly Khomitsevich</v>
      </c>
      <c r="FC97" s="574">
        <f t="shared" si="201"/>
        <v>11</v>
      </c>
      <c r="FD97" s="600">
        <f t="shared" si="202"/>
        <v>11.02210049</v>
      </c>
      <c r="FE97" s="8"/>
      <c r="FF97" s="8"/>
      <c r="FG97" s="8"/>
      <c r="FH97" s="8"/>
      <c r="FI97" s="8"/>
      <c r="FJ97" s="8"/>
      <c r="FK97" s="8"/>
      <c r="FL97" s="8"/>
      <c r="FM97" s="8"/>
      <c r="FN97" s="8"/>
      <c r="FO97" s="8"/>
      <c r="FP97" s="8"/>
      <c r="FQ97" s="8"/>
      <c r="FR97" s="8"/>
      <c r="FS97" s="8"/>
      <c r="FT97" s="8"/>
      <c r="FU97" s="8"/>
      <c r="FV97" s="8"/>
      <c r="FW97" s="8"/>
      <c r="FX97" s="8"/>
      <c r="FY97" s="8"/>
      <c r="FZ97" s="8"/>
      <c r="GA97" s="8"/>
      <c r="GB97" s="8"/>
      <c r="GC97" s="8"/>
      <c r="GD97" s="8"/>
      <c r="GE97" s="8"/>
      <c r="GF97" s="8"/>
      <c r="GG97" s="8"/>
      <c r="GH97" s="8"/>
      <c r="GI97" s="8"/>
      <c r="GU97" s="8"/>
      <c r="GV97" s="8"/>
      <c r="GW97" s="8"/>
      <c r="GX97" s="8"/>
      <c r="GY97" s="8"/>
      <c r="GZ97" s="8"/>
      <c r="HA97" s="8"/>
      <c r="HB97" s="8"/>
      <c r="HC97" s="8"/>
      <c r="HD97" s="8"/>
      <c r="HE97" s="8"/>
      <c r="HF97" s="8"/>
      <c r="HG97" s="8"/>
      <c r="HH97" s="8"/>
    </row>
    <row r="98" spans="4:216" ht="12.75" customHeight="1" thickBot="1">
      <c r="D98" s="8"/>
      <c r="E98" s="8"/>
      <c r="F98" s="8"/>
      <c r="G98" s="8"/>
      <c r="H98" s="8"/>
      <c r="M98" s="8"/>
      <c r="N98" s="8"/>
      <c r="S98" s="8"/>
      <c r="T98" s="8"/>
      <c r="U98" s="8"/>
      <c r="V98" s="8"/>
      <c r="W98" s="8"/>
      <c r="AH98" s="8"/>
      <c r="AI98" s="8"/>
      <c r="AJ98" s="8"/>
      <c r="AK98" s="8"/>
      <c r="BJ98" s="8"/>
      <c r="BY98" s="8"/>
      <c r="BZ98" s="8"/>
      <c r="CC98" s="8"/>
      <c r="CD98" s="8"/>
      <c r="CE98" s="8"/>
      <c r="CF98" s="8"/>
      <c r="CG98" s="13">
        <v>12</v>
      </c>
      <c r="CH98" s="13" t="str">
        <f t="shared" si="203"/>
        <v>Antonin Klatovsky</v>
      </c>
      <c r="CI98" s="711">
        <f t="shared" si="204"/>
        <v>2</v>
      </c>
      <c r="CS98" s="1250"/>
      <c r="CT98" s="1260" t="s">
        <v>48</v>
      </c>
      <c r="CU98" s="1228"/>
      <c r="CV98" s="1228"/>
      <c r="CW98" s="1228"/>
      <c r="CX98" s="1228"/>
      <c r="CY98" s="1228"/>
      <c r="CZ98" s="1228"/>
      <c r="DA98" s="1228"/>
      <c r="DB98" s="1228"/>
      <c r="DC98" s="1228"/>
      <c r="DD98" s="1261"/>
      <c r="FA98" s="249">
        <f t="shared" si="199"/>
        <v>11</v>
      </c>
      <c r="FB98" s="486" t="str">
        <f t="shared" si="200"/>
        <v>Daniel Henderson</v>
      </c>
      <c r="FC98" s="574">
        <f t="shared" si="201"/>
        <v>5</v>
      </c>
      <c r="FD98" s="600">
        <f t="shared" si="202"/>
        <v>5.0013104100000003</v>
      </c>
      <c r="FE98" s="8"/>
      <c r="FF98" s="8"/>
      <c r="FG98" s="8"/>
      <c r="FH98" s="8"/>
      <c r="FI98" s="8"/>
      <c r="FJ98" s="8"/>
      <c r="FK98" s="8"/>
      <c r="FL98" s="8"/>
      <c r="FM98" s="8"/>
      <c r="FN98" s="8"/>
      <c r="FO98" s="8"/>
      <c r="FP98" s="8"/>
      <c r="FQ98" s="8"/>
      <c r="FR98" s="8"/>
      <c r="FS98" s="8"/>
      <c r="FT98" s="8"/>
      <c r="FU98" s="8"/>
      <c r="FV98" s="8"/>
      <c r="FW98" s="8"/>
      <c r="FX98" s="8"/>
      <c r="FY98" s="8"/>
      <c r="FZ98" s="8"/>
      <c r="GA98" s="8"/>
      <c r="GB98" s="8"/>
      <c r="GC98" s="8"/>
      <c r="GD98" s="8"/>
      <c r="GE98" s="8"/>
      <c r="GF98" s="8"/>
      <c r="GG98" s="8"/>
      <c r="GH98" s="8"/>
      <c r="GI98" s="8"/>
      <c r="GU98" s="8"/>
      <c r="GV98" s="8"/>
      <c r="GW98" s="8"/>
      <c r="GX98" s="8"/>
      <c r="GY98" s="8"/>
      <c r="GZ98" s="8"/>
      <c r="HA98" s="8"/>
      <c r="HB98" s="8"/>
      <c r="HC98" s="8"/>
      <c r="HD98" s="8"/>
      <c r="HE98" s="8"/>
      <c r="HF98" s="8"/>
      <c r="HG98" s="8"/>
      <c r="HH98" s="8"/>
    </row>
    <row r="99" spans="4:216" ht="12.75" customHeight="1" thickBot="1">
      <c r="D99" s="8"/>
      <c r="E99" s="8"/>
      <c r="F99" s="8"/>
      <c r="G99" s="8"/>
      <c r="H99" s="8"/>
      <c r="M99" s="8"/>
      <c r="N99" s="8"/>
      <c r="S99" s="8"/>
      <c r="T99" s="8"/>
      <c r="U99" s="8"/>
      <c r="V99" s="8"/>
      <c r="W99" s="8"/>
      <c r="AH99" s="8"/>
      <c r="AI99" s="8"/>
      <c r="AJ99" s="8"/>
      <c r="AK99" s="8"/>
      <c r="BJ99" s="8"/>
      <c r="BY99" s="8"/>
      <c r="BZ99" s="8"/>
      <c r="CC99" s="8"/>
      <c r="CD99" s="8"/>
      <c r="CE99" s="8"/>
      <c r="CF99" s="8"/>
      <c r="CG99" s="13">
        <v>13</v>
      </c>
      <c r="CH99" s="13" t="str">
        <f t="shared" si="203"/>
        <v>Jan Klatovsky</v>
      </c>
      <c r="CI99" s="711">
        <f t="shared" si="204"/>
        <v>1</v>
      </c>
      <c r="FA99" s="249">
        <f t="shared" si="199"/>
        <v>15</v>
      </c>
      <c r="FB99" s="486" t="str">
        <f t="shared" si="200"/>
        <v>Stefan Pletschacher</v>
      </c>
      <c r="FC99" s="574">
        <f t="shared" si="201"/>
        <v>2</v>
      </c>
      <c r="FD99" s="600">
        <f t="shared" si="202"/>
        <v>2.0002305200000001</v>
      </c>
      <c r="FE99" s="8"/>
      <c r="FF99" s="8"/>
      <c r="FG99" s="8"/>
      <c r="FH99" s="8"/>
      <c r="FI99" s="8"/>
      <c r="FJ99" s="8"/>
      <c r="FK99" s="8"/>
      <c r="FL99" s="8"/>
      <c r="FM99" s="8"/>
      <c r="FN99" s="8"/>
      <c r="FO99" s="8"/>
      <c r="FP99" s="8"/>
      <c r="FQ99" s="8"/>
      <c r="FR99" s="8"/>
      <c r="FS99" s="8"/>
      <c r="FT99" s="8"/>
      <c r="FU99" s="8"/>
      <c r="FV99" s="8"/>
      <c r="FW99" s="8"/>
      <c r="FX99" s="8"/>
      <c r="FY99" s="8"/>
      <c r="FZ99" s="8"/>
      <c r="GA99" s="8"/>
      <c r="GB99" s="8"/>
      <c r="GC99" s="8"/>
      <c r="GD99" s="8"/>
      <c r="GE99" s="8"/>
      <c r="GF99" s="8"/>
      <c r="GG99" s="8"/>
      <c r="GH99" s="8"/>
      <c r="GI99" s="8"/>
      <c r="GU99" s="8"/>
      <c r="GV99" s="8"/>
      <c r="GW99" s="8"/>
      <c r="GX99" s="8"/>
      <c r="GY99" s="8"/>
      <c r="GZ99" s="8"/>
      <c r="HA99" s="8"/>
      <c r="HB99" s="8"/>
      <c r="HC99" s="8"/>
      <c r="HD99" s="8"/>
      <c r="HE99" s="8"/>
      <c r="HF99" s="8"/>
      <c r="HG99" s="8"/>
      <c r="HH99" s="8"/>
    </row>
    <row r="100" spans="4:216" ht="12.75" customHeight="1">
      <c r="D100" s="8"/>
      <c r="E100" s="8"/>
      <c r="F100" s="8"/>
      <c r="G100" s="8"/>
      <c r="H100" s="8"/>
      <c r="M100" s="8"/>
      <c r="N100" s="8"/>
      <c r="S100" s="8"/>
      <c r="T100" s="8"/>
      <c r="U100" s="8"/>
      <c r="V100" s="8"/>
      <c r="W100" s="8"/>
      <c r="AH100" s="8"/>
      <c r="AI100" s="8"/>
      <c r="AJ100" s="8"/>
      <c r="AK100" s="8"/>
      <c r="BJ100" s="8"/>
      <c r="BY100" s="8"/>
      <c r="BZ100" s="8"/>
      <c r="CC100" s="8"/>
      <c r="CD100" s="8"/>
      <c r="CE100" s="8"/>
      <c r="CF100" s="8"/>
      <c r="CG100" s="13">
        <v>14</v>
      </c>
      <c r="CH100" s="13" t="str">
        <f t="shared" si="203"/>
        <v>Per-Anders Lindstrom</v>
      </c>
      <c r="CI100" s="711">
        <f t="shared" si="204"/>
        <v>1</v>
      </c>
      <c r="CS100" s="1249" t="s">
        <v>53</v>
      </c>
      <c r="CT100" s="1181" t="s">
        <v>51</v>
      </c>
      <c r="CU100" s="1182"/>
      <c r="CV100" s="1182"/>
      <c r="CW100" s="1182"/>
      <c r="CX100" s="1182"/>
      <c r="CY100" s="1182"/>
      <c r="CZ100" s="1182"/>
      <c r="DA100" s="1182"/>
      <c r="DB100" s="1182"/>
      <c r="DC100" s="1182"/>
      <c r="DD100" s="1183"/>
      <c r="FA100" s="249">
        <f t="shared" si="199"/>
        <v>1</v>
      </c>
      <c r="FB100" s="486" t="str">
        <f t="shared" si="200"/>
        <v>Dimitry Koltakov</v>
      </c>
      <c r="FC100" s="574">
        <f t="shared" si="201"/>
        <v>15</v>
      </c>
      <c r="FD100" s="600">
        <f t="shared" si="202"/>
        <v>15.050000580000001</v>
      </c>
      <c r="FE100" s="8"/>
      <c r="FF100" s="8"/>
      <c r="FG100" s="8"/>
      <c r="FH100" s="8"/>
      <c r="FI100" s="8"/>
      <c r="FJ100" s="8"/>
      <c r="FK100" s="8"/>
      <c r="FL100" s="8"/>
      <c r="FM100" s="8"/>
      <c r="FN100" s="8"/>
      <c r="FO100" s="8"/>
      <c r="FP100" s="8"/>
      <c r="FQ100" s="8"/>
      <c r="FR100" s="8"/>
      <c r="FS100" s="8"/>
      <c r="FT100" s="8"/>
      <c r="FU100" s="8"/>
      <c r="FV100" s="8"/>
      <c r="FW100" s="8"/>
      <c r="FX100" s="8"/>
      <c r="FY100" s="8"/>
      <c r="FZ100" s="8"/>
      <c r="GA100" s="8"/>
      <c r="GB100" s="8"/>
      <c r="GC100" s="8"/>
      <c r="GD100" s="8"/>
      <c r="GE100" s="8"/>
      <c r="GF100" s="8"/>
      <c r="GG100" s="8"/>
      <c r="GH100" s="8"/>
      <c r="GI100" s="8"/>
      <c r="GU100" s="8"/>
      <c r="GV100" s="8"/>
      <c r="GW100" s="8"/>
      <c r="GX100" s="8"/>
      <c r="GY100" s="8"/>
      <c r="GZ100" s="8"/>
      <c r="HA100" s="8"/>
      <c r="HB100" s="8"/>
      <c r="HC100" s="8"/>
      <c r="HD100" s="8"/>
      <c r="HE100" s="8"/>
      <c r="HF100" s="8"/>
      <c r="HG100" s="8"/>
      <c r="HH100" s="8"/>
    </row>
    <row r="101" spans="4:216" ht="12.75" customHeight="1" thickBot="1">
      <c r="D101" s="8"/>
      <c r="E101" s="8"/>
      <c r="F101" s="8"/>
      <c r="G101" s="8"/>
      <c r="H101" s="8"/>
      <c r="M101" s="8"/>
      <c r="N101" s="8"/>
      <c r="S101" s="8"/>
      <c r="T101" s="8"/>
      <c r="U101" s="8"/>
      <c r="V101" s="8"/>
      <c r="W101" s="8"/>
      <c r="AH101" s="8"/>
      <c r="AI101" s="8"/>
      <c r="AJ101" s="8"/>
      <c r="AK101" s="8"/>
      <c r="BJ101" s="8"/>
      <c r="BY101" s="8"/>
      <c r="BZ101" s="8"/>
      <c r="CC101" s="8"/>
      <c r="CD101" s="8"/>
      <c r="CE101" s="8"/>
      <c r="CF101" s="8"/>
      <c r="CG101" s="13">
        <v>15</v>
      </c>
      <c r="CH101" s="13" t="str">
        <f t="shared" si="203"/>
        <v>Stefan Pletschacher</v>
      </c>
      <c r="CI101" s="711">
        <f t="shared" si="204"/>
        <v>1</v>
      </c>
      <c r="CS101" s="1250"/>
      <c r="CT101" s="1260" t="s">
        <v>52</v>
      </c>
      <c r="CU101" s="1228"/>
      <c r="CV101" s="1228"/>
      <c r="CW101" s="1228"/>
      <c r="CX101" s="1228"/>
      <c r="CY101" s="1228"/>
      <c r="CZ101" s="1228"/>
      <c r="DA101" s="1228"/>
      <c r="DB101" s="1228"/>
      <c r="DC101" s="1228"/>
      <c r="DD101" s="1261"/>
      <c r="FA101" s="249">
        <f t="shared" si="199"/>
        <v>8</v>
      </c>
      <c r="FB101" s="486" t="str">
        <f t="shared" si="200"/>
        <v>Stefan Svensson</v>
      </c>
      <c r="FC101" s="574">
        <f t="shared" si="201"/>
        <v>8</v>
      </c>
      <c r="FD101" s="600">
        <f t="shared" si="202"/>
        <v>8.0121105499999992</v>
      </c>
      <c r="FE101" s="8"/>
      <c r="FF101" s="8"/>
      <c r="FG101" s="8"/>
      <c r="FH101" s="8"/>
      <c r="FI101" s="8"/>
      <c r="FJ101" s="8"/>
      <c r="FK101" s="8"/>
      <c r="FL101" s="8"/>
      <c r="FM101" s="8"/>
      <c r="FN101" s="8"/>
      <c r="FO101" s="8"/>
      <c r="FP101" s="8"/>
      <c r="FQ101" s="8"/>
      <c r="FR101" s="8"/>
      <c r="FS101" s="8"/>
      <c r="FT101" s="8"/>
      <c r="FU101" s="8"/>
      <c r="FV101" s="8"/>
      <c r="FW101" s="8"/>
      <c r="FX101" s="8"/>
      <c r="FY101" s="8"/>
      <c r="FZ101" s="8"/>
      <c r="GA101" s="8"/>
      <c r="GB101" s="8"/>
      <c r="GC101" s="8"/>
      <c r="GD101" s="8"/>
      <c r="GE101" s="8"/>
      <c r="GF101" s="8"/>
      <c r="GG101" s="8"/>
      <c r="GH101" s="8"/>
      <c r="GI101" s="8"/>
      <c r="GU101" s="8"/>
      <c r="GV101" s="8"/>
      <c r="GW101" s="8"/>
      <c r="GX101" s="8"/>
      <c r="GY101" s="8"/>
      <c r="GZ101" s="8"/>
      <c r="HA101" s="8"/>
      <c r="HB101" s="8"/>
      <c r="HC101" s="8"/>
      <c r="HD101" s="8"/>
      <c r="HE101" s="8"/>
      <c r="HF101" s="8"/>
      <c r="HG101" s="8"/>
      <c r="HH101" s="8"/>
    </row>
    <row r="102" spans="4:216" ht="12.75" customHeight="1" thickBot="1">
      <c r="D102" s="8"/>
      <c r="E102" s="8"/>
      <c r="F102" s="8"/>
      <c r="G102" s="8"/>
      <c r="H102" s="8"/>
      <c r="M102" s="8"/>
      <c r="N102" s="8"/>
      <c r="S102" s="8"/>
      <c r="T102" s="8"/>
      <c r="U102" s="8"/>
      <c r="V102" s="8"/>
      <c r="W102" s="8"/>
      <c r="AH102" s="8"/>
      <c r="AI102" s="8"/>
      <c r="AJ102" s="8"/>
      <c r="AK102" s="8"/>
      <c r="BJ102" s="8"/>
      <c r="BY102" s="8"/>
      <c r="BZ102" s="8"/>
      <c r="CC102" s="8"/>
      <c r="CD102" s="8"/>
      <c r="CE102" s="8"/>
      <c r="CF102" s="8"/>
      <c r="CG102" s="13">
        <v>16</v>
      </c>
      <c r="CH102" s="13" t="str">
        <f t="shared" si="203"/>
        <v>Simon Reitsma</v>
      </c>
      <c r="CI102" s="711">
        <f t="shared" si="204"/>
        <v>0</v>
      </c>
      <c r="FA102" s="249">
        <f t="shared" si="199"/>
        <v>16</v>
      </c>
      <c r="FB102" s="486" t="str">
        <f t="shared" si="200"/>
        <v>Simon Reitsma</v>
      </c>
      <c r="FC102" s="574">
        <f t="shared" si="201"/>
        <v>0</v>
      </c>
      <c r="FD102" s="600">
        <f t="shared" si="202"/>
        <v>5.0430000000000003E-5</v>
      </c>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U102" s="8"/>
      <c r="GV102" s="8"/>
      <c r="GW102" s="8"/>
      <c r="GX102" s="8"/>
      <c r="GY102" s="8"/>
      <c r="GZ102" s="8"/>
      <c r="HA102" s="8"/>
      <c r="HB102" s="8"/>
      <c r="HC102" s="8"/>
      <c r="HD102" s="8"/>
      <c r="HE102" s="8"/>
      <c r="HF102" s="8"/>
      <c r="HG102" s="8"/>
      <c r="HH102" s="8"/>
    </row>
    <row r="103" spans="4:216" ht="12.75" customHeight="1" thickBot="1">
      <c r="D103" s="8"/>
      <c r="E103" s="8"/>
      <c r="F103" s="8"/>
      <c r="G103" s="8"/>
      <c r="H103" s="8"/>
      <c r="M103" s="8"/>
      <c r="N103" s="8"/>
      <c r="S103" s="8"/>
      <c r="T103" s="8"/>
      <c r="U103" s="8"/>
      <c r="V103" s="8"/>
      <c r="W103" s="8"/>
      <c r="AH103" s="8"/>
      <c r="AI103" s="8"/>
      <c r="AJ103" s="8"/>
      <c r="AK103" s="8"/>
      <c r="BJ103" s="8"/>
      <c r="BY103" s="8"/>
      <c r="BZ103" s="8"/>
      <c r="CC103" s="8"/>
      <c r="CD103" s="8"/>
      <c r="CE103" s="8"/>
      <c r="CF103" s="8"/>
      <c r="CG103" s="13">
        <v>17</v>
      </c>
      <c r="CH103" s="13" t="str">
        <f t="shared" si="203"/>
        <v>Rene Stellingwerf</v>
      </c>
      <c r="CI103" s="711">
        <f t="shared" si="204"/>
        <v>0</v>
      </c>
      <c r="CS103" s="1254" t="s">
        <v>47</v>
      </c>
      <c r="CT103" s="1255"/>
      <c r="CU103" s="1255"/>
      <c r="CV103" s="1255"/>
      <c r="CW103" s="1255"/>
      <c r="CX103" s="1255"/>
      <c r="CY103" s="1255"/>
      <c r="CZ103" s="1255"/>
      <c r="DA103" s="1255"/>
      <c r="DB103" s="1255"/>
      <c r="DC103" s="1255"/>
      <c r="DD103" s="1256"/>
      <c r="FA103" s="251">
        <f t="shared" si="199"/>
        <v>18</v>
      </c>
      <c r="FB103" s="487" t="str">
        <f t="shared" si="200"/>
        <v>Max Niedermaier</v>
      </c>
      <c r="FC103" s="575">
        <f t="shared" si="201"/>
        <v>0</v>
      </c>
      <c r="FD103" s="600">
        <f t="shared" si="202"/>
        <v>4.2E-7</v>
      </c>
      <c r="FE103" s="8"/>
      <c r="FF103" s="8"/>
      <c r="FG103" s="8"/>
      <c r="FH103" s="8"/>
      <c r="FI103" s="8"/>
      <c r="FJ103" s="8"/>
      <c r="FK103" s="8"/>
      <c r="FL103" s="8"/>
      <c r="FM103" s="8"/>
      <c r="FN103" s="8"/>
      <c r="FO103" s="8"/>
      <c r="FP103" s="8"/>
      <c r="FQ103" s="8"/>
      <c r="FR103" s="8"/>
      <c r="FS103" s="8"/>
      <c r="FT103" s="8"/>
      <c r="FU103" s="8"/>
      <c r="FV103" s="8"/>
      <c r="FW103" s="8"/>
      <c r="FX103" s="8"/>
      <c r="FY103" s="8"/>
      <c r="FZ103" s="8"/>
      <c r="GA103" s="8"/>
      <c r="GB103" s="8"/>
      <c r="GC103" s="8"/>
      <c r="GD103" s="8"/>
      <c r="GE103" s="8"/>
      <c r="GF103" s="8"/>
      <c r="GG103" s="8"/>
      <c r="GH103" s="8"/>
      <c r="GI103" s="8"/>
      <c r="GU103" s="8"/>
      <c r="GV103" s="8"/>
      <c r="GW103" s="8"/>
      <c r="GX103" s="8"/>
      <c r="GY103" s="8"/>
      <c r="GZ103" s="8"/>
      <c r="HA103" s="8"/>
      <c r="HB103" s="8"/>
      <c r="HC103" s="8"/>
      <c r="HD103" s="8"/>
      <c r="HE103" s="8"/>
      <c r="HF103" s="8"/>
      <c r="HG103" s="8"/>
      <c r="HH103" s="8"/>
    </row>
    <row r="104" spans="4:216" ht="12.75" customHeight="1" thickBot="1">
      <c r="D104" s="8"/>
      <c r="E104" s="8"/>
      <c r="F104" s="8"/>
      <c r="G104" s="8"/>
      <c r="H104" s="8"/>
      <c r="M104" s="8"/>
      <c r="N104" s="8"/>
      <c r="S104" s="8"/>
      <c r="T104" s="8"/>
      <c r="U104" s="8"/>
      <c r="V104" s="8"/>
      <c r="W104" s="8"/>
      <c r="AH104" s="8"/>
      <c r="AI104" s="8"/>
      <c r="AJ104" s="8"/>
      <c r="AK104" s="8"/>
      <c r="BJ104" s="8"/>
      <c r="BY104" s="8"/>
      <c r="BZ104" s="8"/>
      <c r="CC104" s="8"/>
      <c r="CD104" s="8"/>
      <c r="CE104" s="8"/>
      <c r="CF104" s="8"/>
      <c r="CG104" s="13">
        <v>18</v>
      </c>
      <c r="CH104" s="13" t="str">
        <f t="shared" si="203"/>
        <v>Max Niedermaier</v>
      </c>
      <c r="CI104" s="711">
        <f t="shared" si="204"/>
        <v>0</v>
      </c>
      <c r="CS104" s="1257"/>
      <c r="CT104" s="1258"/>
      <c r="CU104" s="1258"/>
      <c r="CV104" s="1258"/>
      <c r="CW104" s="1258"/>
      <c r="CX104" s="1258"/>
      <c r="CY104" s="1258"/>
      <c r="CZ104" s="1258"/>
      <c r="DA104" s="1258"/>
      <c r="DB104" s="1258"/>
      <c r="DC104" s="1258"/>
      <c r="DD104" s="1259"/>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U104" s="8"/>
      <c r="GV104" s="8"/>
      <c r="GW104" s="8"/>
      <c r="GX104" s="8"/>
      <c r="GY104" s="8"/>
      <c r="GZ104" s="8"/>
      <c r="HA104" s="8"/>
      <c r="HB104" s="8"/>
      <c r="HC104" s="8"/>
      <c r="HD104" s="8"/>
      <c r="HE104" s="8"/>
      <c r="HF104" s="8"/>
      <c r="HG104" s="8"/>
      <c r="HH104" s="8"/>
    </row>
    <row r="107" spans="4:216" ht="12.75" customHeight="1">
      <c r="D107" s="8"/>
      <c r="E107" s="8"/>
      <c r="F107" s="8"/>
      <c r="G107" s="8"/>
      <c r="H107" s="8"/>
      <c r="M107" s="8"/>
      <c r="N107" s="8"/>
      <c r="S107" s="8"/>
      <c r="T107" s="8"/>
      <c r="U107" s="8"/>
      <c r="V107" s="8"/>
      <c r="W107" s="8"/>
      <c r="AH107" s="8"/>
      <c r="AI107" s="8"/>
      <c r="AJ107" s="8"/>
      <c r="AK107" s="8"/>
      <c r="BJ107" s="8"/>
      <c r="BY107" s="8"/>
      <c r="BZ107" s="8"/>
      <c r="CC107" s="8"/>
      <c r="CD107" s="8"/>
      <c r="CE107" s="8"/>
      <c r="CF107" s="8"/>
      <c r="CV107" s="418"/>
      <c r="CW107" s="419"/>
      <c r="CX107" s="419"/>
      <c r="CY107" s="419"/>
      <c r="CZ107" s="419"/>
      <c r="DA107" s="419"/>
      <c r="DB107" s="419"/>
      <c r="DC107" s="419"/>
      <c r="DD107" s="419"/>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U107" s="8"/>
      <c r="GV107" s="8"/>
      <c r="GW107" s="8"/>
      <c r="GX107" s="8"/>
      <c r="GY107" s="8"/>
      <c r="GZ107" s="8"/>
      <c r="HA107" s="8"/>
      <c r="HB107" s="8"/>
      <c r="HC107" s="8"/>
      <c r="HD107" s="8"/>
      <c r="HE107" s="8"/>
      <c r="HF107" s="8"/>
      <c r="HG107" s="8"/>
      <c r="HH107" s="8"/>
    </row>
    <row r="108" spans="4:216" ht="12.75" customHeight="1">
      <c r="D108" s="8"/>
      <c r="E108" s="8"/>
      <c r="F108" s="8"/>
      <c r="G108" s="8"/>
      <c r="H108" s="8"/>
      <c r="M108" s="8"/>
      <c r="N108" s="8"/>
      <c r="S108" s="8"/>
      <c r="T108" s="8"/>
      <c r="U108" s="8"/>
      <c r="V108" s="8"/>
      <c r="W108" s="8"/>
      <c r="AH108" s="8"/>
      <c r="AI108" s="8"/>
      <c r="AJ108" s="8"/>
      <c r="AK108" s="8"/>
      <c r="BJ108" s="8"/>
      <c r="BY108" s="8"/>
      <c r="BZ108" s="8"/>
      <c r="CC108" s="8"/>
      <c r="CD108" s="8"/>
      <c r="CE108" s="8"/>
      <c r="CF108" s="8"/>
      <c r="CV108" s="420"/>
      <c r="CW108" s="421"/>
      <c r="CX108" s="421"/>
      <c r="CY108" s="421"/>
      <c r="CZ108" s="421"/>
      <c r="DA108" s="421"/>
      <c r="DB108" s="421"/>
      <c r="DC108" s="421"/>
      <c r="DD108" s="421"/>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U108" s="8"/>
      <c r="GV108" s="8"/>
      <c r="GW108" s="8"/>
      <c r="GX108" s="8"/>
      <c r="GY108" s="8"/>
      <c r="GZ108" s="8"/>
      <c r="HA108" s="8"/>
      <c r="HB108" s="8"/>
      <c r="HC108" s="8"/>
      <c r="HD108" s="8"/>
      <c r="HE108" s="8"/>
      <c r="HF108" s="8"/>
      <c r="HG108" s="8"/>
      <c r="HH108" s="8"/>
    </row>
  </sheetData>
  <sheetProtection password="C331" sheet="1" objects="1" scenarios="1" formatCells="0" formatColumns="0"/>
  <mergeCells count="365">
    <mergeCell ref="HN32:HN35"/>
    <mergeCell ref="HG32:HG35"/>
    <mergeCell ref="HX22:HX25"/>
    <mergeCell ref="HX27:HX30"/>
    <mergeCell ref="HG44:HG47"/>
    <mergeCell ref="CS97:CS98"/>
    <mergeCell ref="CS93:CS95"/>
    <mergeCell ref="CS100:CS101"/>
    <mergeCell ref="CS103:DD104"/>
    <mergeCell ref="CT101:DD101"/>
    <mergeCell ref="FT40:FW40"/>
    <mergeCell ref="FT38:FW38"/>
    <mergeCell ref="FT39:FW39"/>
    <mergeCell ref="FY43:GC43"/>
    <mergeCell ref="FT43:FW43"/>
    <mergeCell ref="FY40:GC40"/>
    <mergeCell ref="FT41:FW41"/>
    <mergeCell ref="FT42:FW42"/>
    <mergeCell ref="CT100:DD100"/>
    <mergeCell ref="CT93:DD93"/>
    <mergeCell ref="CT94:DD94"/>
    <mergeCell ref="CT95:DD95"/>
    <mergeCell ref="CT98:DD98"/>
    <mergeCell ref="DF46:DG46"/>
    <mergeCell ref="DH46:DI46"/>
    <mergeCell ref="CR89:DB91"/>
    <mergeCell ref="FY44:GC44"/>
    <mergeCell ref="FT46:FZ47"/>
    <mergeCell ref="CU46:CW46"/>
    <mergeCell ref="CC21:CP21"/>
    <mergeCell ref="AL12:AO12"/>
    <mergeCell ref="AL14:AO14"/>
    <mergeCell ref="HX12:HX15"/>
    <mergeCell ref="HN22:HN25"/>
    <mergeCell ref="DR24:EY24"/>
    <mergeCell ref="FK25:FL25"/>
    <mergeCell ref="DR25:EG25"/>
    <mergeCell ref="EI25:EX25"/>
    <mergeCell ref="EY25:EY26"/>
    <mergeCell ref="AL20:AO20"/>
    <mergeCell ref="HG12:HG15"/>
    <mergeCell ref="AL19:AO19"/>
    <mergeCell ref="AL17:AO17"/>
    <mergeCell ref="AL16:AO16"/>
    <mergeCell ref="CC22:CP22"/>
    <mergeCell ref="AL25:AO25"/>
    <mergeCell ref="AL26:AO26"/>
    <mergeCell ref="CG25:CJ25"/>
    <mergeCell ref="GK24:GP25"/>
    <mergeCell ref="CG26:CJ26"/>
    <mergeCell ref="HG24:HG27"/>
    <mergeCell ref="I7:N7"/>
    <mergeCell ref="AL13:AO13"/>
    <mergeCell ref="AE12:AE14"/>
    <mergeCell ref="AE16:AE18"/>
    <mergeCell ref="W18:Z18"/>
    <mergeCell ref="V11:Z11"/>
    <mergeCell ref="I8:N9"/>
    <mergeCell ref="G11:K11"/>
    <mergeCell ref="AK11:AO11"/>
    <mergeCell ref="H23:K23"/>
    <mergeCell ref="W23:Z23"/>
    <mergeCell ref="P24:P26"/>
    <mergeCell ref="H24:K24"/>
    <mergeCell ref="H25:K25"/>
    <mergeCell ref="H26:K26"/>
    <mergeCell ref="W25:Z25"/>
    <mergeCell ref="AE24:AE26"/>
    <mergeCell ref="W24:Z24"/>
    <mergeCell ref="AL22:AO22"/>
    <mergeCell ref="AL23:AO23"/>
    <mergeCell ref="W26:Z26"/>
    <mergeCell ref="HX17:HX20"/>
    <mergeCell ref="AL15:AO15"/>
    <mergeCell ref="H13:K13"/>
    <mergeCell ref="AL18:AO18"/>
    <mergeCell ref="W13:Z13"/>
    <mergeCell ref="W14:Z14"/>
    <mergeCell ref="W15:Z15"/>
    <mergeCell ref="W17:Z17"/>
    <mergeCell ref="H15:K15"/>
    <mergeCell ref="HN12:HN15"/>
    <mergeCell ref="AE20:AE22"/>
    <mergeCell ref="W20:Z20"/>
    <mergeCell ref="W19:Z19"/>
    <mergeCell ref="W16:Z16"/>
    <mergeCell ref="P12:P14"/>
    <mergeCell ref="H21:K21"/>
    <mergeCell ref="AL21:AO21"/>
    <mergeCell ref="W12:Z12"/>
    <mergeCell ref="H16:K16"/>
    <mergeCell ref="P16:P18"/>
    <mergeCell ref="H14:K14"/>
    <mergeCell ref="W22:Z22"/>
    <mergeCell ref="W21:Z21"/>
    <mergeCell ref="P20:P22"/>
    <mergeCell ref="A12:A14"/>
    <mergeCell ref="H12:K12"/>
    <mergeCell ref="A20:A22"/>
    <mergeCell ref="H17:K17"/>
    <mergeCell ref="H18:K18"/>
    <mergeCell ref="A16:A18"/>
    <mergeCell ref="H22:K22"/>
    <mergeCell ref="H19:K19"/>
    <mergeCell ref="H20:K20"/>
    <mergeCell ref="AL24:AO24"/>
    <mergeCell ref="A28:A30"/>
    <mergeCell ref="H32:K32"/>
    <mergeCell ref="P32:P34"/>
    <mergeCell ref="P36:P38"/>
    <mergeCell ref="A24:A26"/>
    <mergeCell ref="H29:K29"/>
    <mergeCell ref="H27:K27"/>
    <mergeCell ref="A40:A42"/>
    <mergeCell ref="A32:A34"/>
    <mergeCell ref="H34:K34"/>
    <mergeCell ref="H31:K31"/>
    <mergeCell ref="H36:K36"/>
    <mergeCell ref="H37:K37"/>
    <mergeCell ref="A36:A38"/>
    <mergeCell ref="H33:K33"/>
    <mergeCell ref="P28:P30"/>
    <mergeCell ref="H28:K28"/>
    <mergeCell ref="H39:K39"/>
    <mergeCell ref="H38:K38"/>
    <mergeCell ref="H35:K35"/>
    <mergeCell ref="H30:K30"/>
    <mergeCell ref="W35:Z35"/>
    <mergeCell ref="W32:Z32"/>
    <mergeCell ref="AL41:AO41"/>
    <mergeCell ref="AE36:AE38"/>
    <mergeCell ref="AL38:AO38"/>
    <mergeCell ref="AL36:AO36"/>
    <mergeCell ref="AL37:AO37"/>
    <mergeCell ref="W27:Z27"/>
    <mergeCell ref="W29:Z29"/>
    <mergeCell ref="W28:Z28"/>
    <mergeCell ref="AE29:AR30"/>
    <mergeCell ref="W31:Z31"/>
    <mergeCell ref="AL27:AO27"/>
    <mergeCell ref="W34:Z34"/>
    <mergeCell ref="AL31:AO31"/>
    <mergeCell ref="AL35:AO35"/>
    <mergeCell ref="AL33:AO33"/>
    <mergeCell ref="W33:Z33"/>
    <mergeCell ref="AE32:AE34"/>
    <mergeCell ref="W30:Z30"/>
    <mergeCell ref="AL34:AO34"/>
    <mergeCell ref="AL32:AO32"/>
    <mergeCell ref="FT33:FW33"/>
    <mergeCell ref="FT35:FW35"/>
    <mergeCell ref="FT36:FW36"/>
    <mergeCell ref="FT37:FW37"/>
    <mergeCell ref="FT34:FW34"/>
    <mergeCell ref="W39:Z39"/>
    <mergeCell ref="W36:Z36"/>
    <mergeCell ref="W37:Z37"/>
    <mergeCell ref="W38:Z38"/>
    <mergeCell ref="AL39:AO39"/>
    <mergeCell ref="DD46:DE46"/>
    <mergeCell ref="CG66:CI66"/>
    <mergeCell ref="GW44:GW47"/>
    <mergeCell ref="FT44:FW44"/>
    <mergeCell ref="EZ65:FF65"/>
    <mergeCell ref="H43:K43"/>
    <mergeCell ref="H42:K42"/>
    <mergeCell ref="HG60:HG63"/>
    <mergeCell ref="GW56:GW59"/>
    <mergeCell ref="GW40:GW43"/>
    <mergeCell ref="AY44:BF47"/>
    <mergeCell ref="CG46:CI46"/>
    <mergeCell ref="AE40:AE42"/>
    <mergeCell ref="W42:Z42"/>
    <mergeCell ref="H40:K40"/>
    <mergeCell ref="H41:K41"/>
    <mergeCell ref="P40:P42"/>
    <mergeCell ref="HG40:HG43"/>
    <mergeCell ref="W41:Z41"/>
    <mergeCell ref="W40:Z40"/>
    <mergeCell ref="AL43:AO43"/>
    <mergeCell ref="AL40:AO40"/>
    <mergeCell ref="W43:Z43"/>
    <mergeCell ref="AL42:AO42"/>
    <mergeCell ref="FY33:GC33"/>
    <mergeCell ref="FT30:FW30"/>
    <mergeCell ref="FY29:GC29"/>
    <mergeCell ref="FT29:FW29"/>
    <mergeCell ref="FT31:FW31"/>
    <mergeCell ref="FT27:FW27"/>
    <mergeCell ref="FY28:GC28"/>
    <mergeCell ref="HG88:HG91"/>
    <mergeCell ref="GW88:GW91"/>
    <mergeCell ref="GW76:GW79"/>
    <mergeCell ref="GW64:GW67"/>
    <mergeCell ref="GW80:GW83"/>
    <mergeCell ref="HG76:HG79"/>
    <mergeCell ref="FY35:GC35"/>
    <mergeCell ref="FY36:GC36"/>
    <mergeCell ref="HG28:HG31"/>
    <mergeCell ref="FY34:GC34"/>
    <mergeCell ref="FY42:GC42"/>
    <mergeCell ref="FY39:GC39"/>
    <mergeCell ref="FY38:GC38"/>
    <mergeCell ref="FT32:FW32"/>
    <mergeCell ref="HG48:HG51"/>
    <mergeCell ref="HG36:HG39"/>
    <mergeCell ref="GW24:GW27"/>
    <mergeCell ref="CT97:DD97"/>
    <mergeCell ref="IP10:IP11"/>
    <mergeCell ref="HY10:HY11"/>
    <mergeCell ref="II10:II11"/>
    <mergeCell ref="ID10:ID11"/>
    <mergeCell ref="IF10:IF11"/>
    <mergeCell ref="IN10:IN11"/>
    <mergeCell ref="EZ85:FF85"/>
    <mergeCell ref="GW68:GW71"/>
    <mergeCell ref="GW84:GW87"/>
    <mergeCell ref="HG84:HG87"/>
    <mergeCell ref="IH12:IH15"/>
    <mergeCell ref="IH17:IH20"/>
    <mergeCell ref="HV10:HV11"/>
    <mergeCell ref="HO10:HO11"/>
    <mergeCell ref="HN17:HN20"/>
    <mergeCell ref="HA4:HA11"/>
    <mergeCell ref="HG16:HG19"/>
    <mergeCell ref="FS23:GI23"/>
    <mergeCell ref="FT28:FW28"/>
    <mergeCell ref="FY30:GC30"/>
    <mergeCell ref="FY31:GC31"/>
    <mergeCell ref="FY32:GC32"/>
    <mergeCell ref="CU26:CW26"/>
    <mergeCell ref="GV1:HL1"/>
    <mergeCell ref="DD1:DK1"/>
    <mergeCell ref="DM1:DM2"/>
    <mergeCell ref="HG52:HG55"/>
    <mergeCell ref="HG56:HG59"/>
    <mergeCell ref="GW28:GW31"/>
    <mergeCell ref="GK1:GQ1"/>
    <mergeCell ref="FT1:GI1"/>
    <mergeCell ref="GW12:GW15"/>
    <mergeCell ref="GW16:GW19"/>
    <mergeCell ref="GW20:GW23"/>
    <mergeCell ref="GW48:GW51"/>
    <mergeCell ref="GW32:GW35"/>
    <mergeCell ref="GW36:GW39"/>
    <mergeCell ref="FY27:GC27"/>
    <mergeCell ref="DR1:EG1"/>
    <mergeCell ref="FK1:FK2"/>
    <mergeCell ref="FJ1:FJ2"/>
    <mergeCell ref="FI1:FI2"/>
    <mergeCell ref="EI1:EX1"/>
    <mergeCell ref="GX3:GX11"/>
    <mergeCell ref="HH3:HH11"/>
    <mergeCell ref="GY4:GY11"/>
    <mergeCell ref="GZ4:GZ11"/>
    <mergeCell ref="DO1:DO2"/>
    <mergeCell ref="DD2:DE2"/>
    <mergeCell ref="CS1:CS2"/>
    <mergeCell ref="DL1:DL2"/>
    <mergeCell ref="FG1:FG2"/>
    <mergeCell ref="CR1:CR2"/>
    <mergeCell ref="CT1:DC1"/>
    <mergeCell ref="EY1:EY2"/>
    <mergeCell ref="DP1:DP2"/>
    <mergeCell ref="JE24:JE27"/>
    <mergeCell ref="IU28:IU31"/>
    <mergeCell ref="IZ28:IZ31"/>
    <mergeCell ref="IU32:IU35"/>
    <mergeCell ref="IZ32:IZ35"/>
    <mergeCell ref="IU36:IU39"/>
    <mergeCell ref="IZ36:IZ39"/>
    <mergeCell ref="IU9:JH10"/>
    <mergeCell ref="IU12:IU15"/>
    <mergeCell ref="IZ12:IZ15"/>
    <mergeCell ref="JE12:JE15"/>
    <mergeCell ref="IU16:IU19"/>
    <mergeCell ref="IZ16:IZ19"/>
    <mergeCell ref="JE16:JE19"/>
    <mergeCell ref="IU20:IU23"/>
    <mergeCell ref="IZ20:IZ23"/>
    <mergeCell ref="JE20:JE23"/>
    <mergeCell ref="IZ40:IZ43"/>
    <mergeCell ref="IU24:IU27"/>
    <mergeCell ref="IZ24:IZ27"/>
    <mergeCell ref="HG80:HG83"/>
    <mergeCell ref="GW52:GW55"/>
    <mergeCell ref="GW60:GW63"/>
    <mergeCell ref="GW72:GW75"/>
    <mergeCell ref="HG68:HG71"/>
    <mergeCell ref="HG72:HG75"/>
    <mergeCell ref="HG64:HG67"/>
    <mergeCell ref="IH47:IH50"/>
    <mergeCell ref="IH37:IH40"/>
    <mergeCell ref="HX42:HX45"/>
    <mergeCell ref="IH42:IH45"/>
    <mergeCell ref="HX47:HX50"/>
    <mergeCell ref="HN42:HN45"/>
    <mergeCell ref="HN47:HN50"/>
    <mergeCell ref="HX37:HX40"/>
    <mergeCell ref="HX32:HX35"/>
    <mergeCell ref="IH27:IH30"/>
    <mergeCell ref="IH22:IH25"/>
    <mergeCell ref="HG20:HG23"/>
    <mergeCell ref="HN37:HN40"/>
    <mergeCell ref="HN27:HN30"/>
    <mergeCell ref="AW1:AX1"/>
    <mergeCell ref="AT2:AU2"/>
    <mergeCell ref="AW2:AX2"/>
    <mergeCell ref="AT1:AU1"/>
    <mergeCell ref="FC1:FC2"/>
    <mergeCell ref="FF1:FF2"/>
    <mergeCell ref="FE1:FE2"/>
    <mergeCell ref="CG86:CI86"/>
    <mergeCell ref="IU40:IU43"/>
    <mergeCell ref="FY37:GC37"/>
    <mergeCell ref="FY41:GC41"/>
    <mergeCell ref="FD1:FD2"/>
    <mergeCell ref="FH1:FH2"/>
    <mergeCell ref="DN1:DN2"/>
    <mergeCell ref="BK3:BK11"/>
    <mergeCell ref="CG2:CH2"/>
    <mergeCell ref="CC2:CD2"/>
    <mergeCell ref="DF2:DG2"/>
    <mergeCell ref="BD9:BF10"/>
    <mergeCell ref="AT10:BB10"/>
    <mergeCell ref="AT11:AU11"/>
    <mergeCell ref="DH2:DI2"/>
    <mergeCell ref="DJ2:DK2"/>
    <mergeCell ref="CC1:CO1"/>
    <mergeCell ref="AY2:AZ2"/>
    <mergeCell ref="AY3:AZ3"/>
    <mergeCell ref="AY4:AZ4"/>
    <mergeCell ref="AY5:AZ5"/>
    <mergeCell ref="AY1:AZ1"/>
    <mergeCell ref="BA1:BB1"/>
    <mergeCell ref="BC1:BD1"/>
    <mergeCell ref="BA2:BB2"/>
    <mergeCell ref="BA3:BB3"/>
    <mergeCell ref="BA4:BB4"/>
    <mergeCell ref="BA5:BB5"/>
    <mergeCell ref="BC2:BD2"/>
    <mergeCell ref="BC3:BD3"/>
    <mergeCell ref="BC4:BD4"/>
    <mergeCell ref="BC5:BD5"/>
    <mergeCell ref="AY31:BD31"/>
    <mergeCell ref="AV31:AW31"/>
    <mergeCell ref="AR44:AW47"/>
    <mergeCell ref="AT3:AU3"/>
    <mergeCell ref="AT4:AU4"/>
    <mergeCell ref="AT5:AU5"/>
    <mergeCell ref="AW3:AX3"/>
    <mergeCell ref="AW4:AX4"/>
    <mergeCell ref="AW5:AX5"/>
    <mergeCell ref="AZ32:BD32"/>
    <mergeCell ref="AZ33:BD33"/>
    <mergeCell ref="AZ34:BD34"/>
    <mergeCell ref="AZ35:BD35"/>
    <mergeCell ref="AZ36:BD36"/>
    <mergeCell ref="AZ37:BD37"/>
    <mergeCell ref="AZ38:BD38"/>
    <mergeCell ref="AZ39:BD39"/>
    <mergeCell ref="AZ40:BD40"/>
    <mergeCell ref="AZ41:BD41"/>
    <mergeCell ref="AZ42:BD42"/>
    <mergeCell ref="AZ43:BD43"/>
  </mergeCells>
  <phoneticPr fontId="0" type="noConversion"/>
  <conditionalFormatting sqref="AV32:AV43 BN48 BN51">
    <cfRule type="expression" dxfId="95" priority="115" stopIfTrue="1">
      <formula>AW32&lt;&gt;""</formula>
    </cfRule>
  </conditionalFormatting>
  <conditionalFormatting sqref="BN50">
    <cfRule type="expression" dxfId="94" priority="116" stopIfTrue="1">
      <formula>BO49&lt;&gt;""</formula>
    </cfRule>
  </conditionalFormatting>
  <conditionalFormatting sqref="BN49">
    <cfRule type="expression" dxfId="93" priority="117" stopIfTrue="1">
      <formula>BO50&lt;&gt;""</formula>
    </cfRule>
  </conditionalFormatting>
  <conditionalFormatting sqref="AV12:AV29 S10:V10 U2:V9 AJ2:AK10">
    <cfRule type="cellIs" dxfId="92" priority="118" stopIfTrue="1" operator="equal">
      <formula>$D$46</formula>
    </cfRule>
    <cfRule type="cellIs" dxfId="91" priority="119" stopIfTrue="1" operator="equal">
      <formula>$D$47</formula>
    </cfRule>
    <cfRule type="cellIs" dxfId="90" priority="120" stopIfTrue="1" operator="equal">
      <formula>$D$48</formula>
    </cfRule>
  </conditionalFormatting>
  <conditionalFormatting sqref="CO3:CO20">
    <cfRule type="cellIs" dxfId="89" priority="124" stopIfTrue="1" operator="equal">
      <formula>$S$19</formula>
    </cfRule>
  </conditionalFormatting>
  <conditionalFormatting sqref="CP3:CP20">
    <cfRule type="cellIs" dxfId="88" priority="125" stopIfTrue="1" operator="lessThan">
      <formula>$S$18</formula>
    </cfRule>
    <cfRule type="cellIs" dxfId="87" priority="126" stopIfTrue="1" operator="equal">
      <formula>$S$18</formula>
    </cfRule>
  </conditionalFormatting>
  <conditionalFormatting sqref="AB2:AB10 AQ2:AQ10">
    <cfRule type="cellIs" dxfId="86" priority="133" stopIfTrue="1" operator="equal">
      <formula>$CA$32</formula>
    </cfRule>
  </conditionalFormatting>
  <conditionalFormatting sqref="FE27:FE44">
    <cfRule type="expression" dxfId="85" priority="85">
      <formula>$FD27&gt;0</formula>
    </cfRule>
  </conditionalFormatting>
  <conditionalFormatting sqref="N12:N15 AT2:AT5">
    <cfRule type="cellIs" dxfId="84" priority="76" operator="equal">
      <formula>"Y"</formula>
    </cfRule>
    <cfRule type="containsText" dxfId="83" priority="77" operator="containsText" text="B">
      <formula>NOT(ISERROR(SEARCH("B",N2)))</formula>
    </cfRule>
    <cfRule type="containsText" dxfId="82" priority="78" operator="containsText" text="w">
      <formula>NOT(ISERROR(SEARCH("w",N2)))</formula>
    </cfRule>
    <cfRule type="containsText" dxfId="81" priority="79" operator="containsText" text="R">
      <formula>NOT(ISERROR(SEARCH("R",N2)))</formula>
    </cfRule>
  </conditionalFormatting>
  <conditionalFormatting sqref="N16:N43">
    <cfRule type="cellIs" dxfId="80" priority="72" operator="equal">
      <formula>"Y"</formula>
    </cfRule>
    <cfRule type="containsText" dxfId="79" priority="73" operator="containsText" text="B">
      <formula>NOT(ISERROR(SEARCH("B",N16)))</formula>
    </cfRule>
    <cfRule type="containsText" dxfId="78" priority="74" operator="containsText" text="w">
      <formula>NOT(ISERROR(SEARCH("w",N16)))</formula>
    </cfRule>
    <cfRule type="containsText" dxfId="77" priority="75" operator="containsText" text="R">
      <formula>NOT(ISERROR(SEARCH("R",N16)))</formula>
    </cfRule>
  </conditionalFormatting>
  <conditionalFormatting sqref="AC12:AC15">
    <cfRule type="containsText" dxfId="76" priority="40" stopIfTrue="1" operator="containsText" text="Y">
      <formula>NOT(ISERROR(SEARCH("Y",AC12)))</formula>
    </cfRule>
    <cfRule type="containsText" dxfId="75" priority="41" stopIfTrue="1" operator="containsText" text="w">
      <formula>NOT(ISERROR(SEARCH("w",AC12)))</formula>
    </cfRule>
    <cfRule type="containsText" dxfId="74" priority="42" stopIfTrue="1" operator="containsText" text="B">
      <formula>NOT(ISERROR(SEARCH("B",AC12)))</formula>
    </cfRule>
    <cfRule type="containsText" dxfId="73" priority="43" stopIfTrue="1" operator="containsText" text="R">
      <formula>NOT(ISERROR(SEARCH("R",AC12)))</formula>
    </cfRule>
  </conditionalFormatting>
  <conditionalFormatting sqref="AC16:AC43">
    <cfRule type="containsText" dxfId="72" priority="36" stopIfTrue="1" operator="containsText" text="Y">
      <formula>NOT(ISERROR(SEARCH("Y",AC16)))</formula>
    </cfRule>
    <cfRule type="containsText" dxfId="71" priority="37" stopIfTrue="1" operator="containsText" text="w">
      <formula>NOT(ISERROR(SEARCH("w",AC16)))</formula>
    </cfRule>
    <cfRule type="containsText" dxfId="70" priority="38" stopIfTrue="1" operator="containsText" text="B">
      <formula>NOT(ISERROR(SEARCH("B",AC16)))</formula>
    </cfRule>
    <cfRule type="containsText" dxfId="69" priority="39" stopIfTrue="1" operator="containsText" text="R">
      <formula>NOT(ISERROR(SEARCH("R",AC16)))</formula>
    </cfRule>
  </conditionalFormatting>
  <conditionalFormatting sqref="AR12:AR27">
    <cfRule type="containsText" dxfId="68" priority="32" stopIfTrue="1" operator="containsText" text="Y">
      <formula>NOT(ISERROR(SEARCH("Y",AR12)))</formula>
    </cfRule>
    <cfRule type="containsText" dxfId="67" priority="33" stopIfTrue="1" operator="containsText" text="w">
      <formula>NOT(ISERROR(SEARCH("w",AR12)))</formula>
    </cfRule>
    <cfRule type="containsText" dxfId="66" priority="34" stopIfTrue="1" operator="containsText" text="B">
      <formula>NOT(ISERROR(SEARCH("B",AR12)))</formula>
    </cfRule>
    <cfRule type="containsText" dxfId="65" priority="35" stopIfTrue="1" operator="containsText" text="R">
      <formula>NOT(ISERROR(SEARCH("R",AR12)))</formula>
    </cfRule>
  </conditionalFormatting>
  <conditionalFormatting sqref="AW32:AW43">
    <cfRule type="containsText" dxfId="64" priority="28" stopIfTrue="1" operator="containsText" text="Y">
      <formula>NOT(ISERROR(SEARCH("Y",AW32)))</formula>
    </cfRule>
    <cfRule type="containsText" dxfId="63" priority="29" stopIfTrue="1" operator="containsText" text="w">
      <formula>NOT(ISERROR(SEARCH("w",AW32)))</formula>
    </cfRule>
    <cfRule type="containsText" dxfId="62" priority="30" stopIfTrue="1" operator="containsText" text="B">
      <formula>NOT(ISERROR(SEARCH("B",AW32)))</formula>
    </cfRule>
    <cfRule type="containsText" dxfId="61" priority="31" stopIfTrue="1" operator="containsText" text="R">
      <formula>NOT(ISERROR(SEARCH("R",AW32)))</formula>
    </cfRule>
  </conditionalFormatting>
  <conditionalFormatting sqref="AR32:AR43">
    <cfRule type="containsText" dxfId="60" priority="24" stopIfTrue="1" operator="containsText" text="Y">
      <formula>NOT(ISERROR(SEARCH("Y",AR32)))</formula>
    </cfRule>
    <cfRule type="containsText" dxfId="59" priority="25" stopIfTrue="1" operator="containsText" text="w">
      <formula>NOT(ISERROR(SEARCH("w",AR32)))</formula>
    </cfRule>
    <cfRule type="containsText" dxfId="58" priority="26" stopIfTrue="1" operator="containsText" text="B">
      <formula>NOT(ISERROR(SEARCH("B",AR32)))</formula>
    </cfRule>
    <cfRule type="containsText" dxfId="57" priority="27" stopIfTrue="1" operator="containsText" text="R">
      <formula>NOT(ISERROR(SEARCH("R",AR32)))</formula>
    </cfRule>
  </conditionalFormatting>
  <conditionalFormatting sqref="AH10:AI10">
    <cfRule type="cellIs" dxfId="56" priority="21" stopIfTrue="1" operator="equal">
      <formula>$D$46</formula>
    </cfRule>
    <cfRule type="cellIs" dxfId="55" priority="22" stopIfTrue="1" operator="equal">
      <formula>$D$47</formula>
    </cfRule>
    <cfRule type="cellIs" dxfId="54" priority="23" stopIfTrue="1" operator="equal">
      <formula>$D$48</formula>
    </cfRule>
  </conditionalFormatting>
  <conditionalFormatting sqref="P5:P8">
    <cfRule type="cellIs" dxfId="53" priority="17" operator="equal">
      <formula>"Y"</formula>
    </cfRule>
    <cfRule type="containsText" dxfId="52" priority="18" operator="containsText" text="B">
      <formula>NOT(ISERROR(SEARCH("B",P5)))</formula>
    </cfRule>
    <cfRule type="containsText" dxfId="51" priority="19" operator="containsText" text="w">
      <formula>NOT(ISERROR(SEARCH("w",P5)))</formula>
    </cfRule>
    <cfRule type="containsText" dxfId="50" priority="20" operator="containsText" text="R">
      <formula>NOT(ISERROR(SEARCH("R",P5)))</formula>
    </cfRule>
  </conditionalFormatting>
  <printOptions horizontalCentered="1" verticalCentered="1"/>
  <pageMargins left="0.19685039370078741" right="0.19685039370078741" top="0.19685039370078741" bottom="0.19685039370078741" header="0" footer="0"/>
  <pageSetup paperSize="9" scale="77" orientation="landscape" horizontalDpi="360" verticalDpi="36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FF00"/>
    <pageSetUpPr fitToPage="1"/>
  </sheetPr>
  <dimension ref="A1:M48"/>
  <sheetViews>
    <sheetView showGridLines="0" topLeftCell="A14" zoomScale="78" zoomScaleNormal="78" workbookViewId="0">
      <selection activeCell="J12" sqref="J12:K15"/>
    </sheetView>
  </sheetViews>
  <sheetFormatPr defaultColWidth="8.85546875" defaultRowHeight="15"/>
  <cols>
    <col min="1" max="1" width="7.28515625" style="365" customWidth="1"/>
    <col min="2" max="2" width="7" style="386" customWidth="1"/>
    <col min="3" max="4" width="25.7109375" style="365" customWidth="1"/>
    <col min="5" max="5" width="26.7109375" style="365" customWidth="1"/>
    <col min="6" max="8" width="27.7109375" style="365" customWidth="1"/>
    <col min="9" max="9" width="1.7109375" style="365" customWidth="1"/>
    <col min="10" max="10" width="17.7109375" style="365" bestFit="1" customWidth="1"/>
    <col min="11" max="12" width="30.7109375" style="365" customWidth="1"/>
    <col min="13" max="16384" width="8.85546875" style="365"/>
  </cols>
  <sheetData>
    <row r="1" spans="1:13" ht="27.75">
      <c r="A1" s="1265" t="str">
        <f>Draw!T3</f>
        <v>MOTUL FIM Ice Speedway Gladiators World Championship. 2015</v>
      </c>
      <c r="B1" s="1265"/>
      <c r="C1" s="1265"/>
      <c r="D1" s="1265"/>
      <c r="E1" s="1265"/>
      <c r="F1" s="1265"/>
      <c r="G1" s="1265"/>
      <c r="H1" s="1265"/>
      <c r="J1"/>
      <c r="K1"/>
      <c r="L1"/>
    </row>
    <row r="2" spans="1:13" ht="4.9000000000000004" customHeight="1">
      <c r="A2" s="467"/>
      <c r="B2" s="467"/>
      <c r="C2" s="467"/>
      <c r="D2" s="467"/>
      <c r="E2" s="467"/>
      <c r="F2" s="467"/>
      <c r="G2" s="467"/>
      <c r="H2" s="467"/>
      <c r="J2"/>
      <c r="K2"/>
      <c r="L2"/>
    </row>
    <row r="3" spans="1:13" ht="18">
      <c r="B3" s="468"/>
      <c r="D3" s="840" t="str">
        <f>"Round "&amp;Draw!T5&amp;" "&amp; Draw!T6&amp;", "&amp;Draw!T7&amp;"."</f>
        <v>Round 4 Assen, Netherlands.</v>
      </c>
      <c r="E3" s="840"/>
      <c r="F3" s="364" t="s">
        <v>187</v>
      </c>
      <c r="G3" s="469" t="str">
        <f>Draw!T10</f>
        <v>Mick Posselwhite: ACU</v>
      </c>
      <c r="H3" s="364"/>
      <c r="J3"/>
      <c r="K3"/>
      <c r="L3"/>
    </row>
    <row r="4" spans="1:13" ht="4.9000000000000004" customHeight="1">
      <c r="A4" s="468"/>
      <c r="B4" s="468"/>
      <c r="C4" s="840"/>
      <c r="D4" s="840"/>
      <c r="E4" s="840"/>
      <c r="F4" s="366"/>
      <c r="G4" s="470"/>
      <c r="H4" s="366"/>
      <c r="J4"/>
      <c r="K4"/>
      <c r="L4"/>
    </row>
    <row r="5" spans="1:13" ht="18">
      <c r="B5" s="468"/>
      <c r="D5" s="1272" t="str">
        <f>"IMN No. "&amp;Draw!T4&amp;".   Day 1"</f>
        <v>IMN No. 504/06.   Day 1</v>
      </c>
      <c r="E5" s="1272"/>
      <c r="F5" s="364" t="s">
        <v>188</v>
      </c>
      <c r="G5" s="469" t="str">
        <f>Draw!T11</f>
        <v>Susanne Hüttinger: OeAMTC</v>
      </c>
      <c r="H5" s="364"/>
      <c r="J5"/>
      <c r="K5"/>
      <c r="L5"/>
    </row>
    <row r="6" spans="1:13" ht="4.9000000000000004" customHeight="1">
      <c r="A6" s="468"/>
      <c r="B6" s="468"/>
      <c r="C6" s="553"/>
      <c r="D6" s="553"/>
      <c r="E6" s="553"/>
      <c r="F6" s="366"/>
      <c r="G6" s="470"/>
      <c r="H6" s="366"/>
      <c r="J6"/>
      <c r="K6"/>
      <c r="L6"/>
    </row>
    <row r="7" spans="1:13" ht="17.45" customHeight="1">
      <c r="B7" s="468"/>
      <c r="D7" s="1273" t="str">
        <f>Draw!T8</f>
        <v>7th March 2015</v>
      </c>
      <c r="E7" s="1273"/>
      <c r="F7" s="364"/>
      <c r="G7" s="469"/>
      <c r="H7" s="364"/>
      <c r="J7"/>
      <c r="K7"/>
      <c r="L7"/>
    </row>
    <row r="8" spans="1:13" ht="4.9000000000000004" customHeight="1">
      <c r="A8" s="468"/>
      <c r="B8" s="468"/>
      <c r="C8" s="553"/>
      <c r="D8" s="553"/>
      <c r="E8" s="553"/>
      <c r="F8" s="366"/>
      <c r="G8" s="366"/>
      <c r="H8" s="366"/>
      <c r="I8" s="366"/>
      <c r="J8"/>
      <c r="K8"/>
      <c r="L8"/>
    </row>
    <row r="9" spans="1:13" ht="17.45" customHeight="1">
      <c r="A9" s="468"/>
      <c r="B9" s="468"/>
      <c r="C9" s="468"/>
      <c r="D9" s="468"/>
      <c r="E9" s="468"/>
      <c r="F9" s="364"/>
      <c r="G9" s="469"/>
      <c r="H9" s="366"/>
      <c r="I9" s="366"/>
      <c r="J9"/>
      <c r="K9"/>
      <c r="L9"/>
    </row>
    <row r="10" spans="1:13" ht="4.9000000000000004" customHeight="1" thickBot="1">
      <c r="A10" s="367"/>
      <c r="B10" s="367"/>
      <c r="C10" s="367"/>
      <c r="D10" s="367"/>
      <c r="E10" s="367"/>
      <c r="F10" s="366"/>
      <c r="G10" s="367"/>
      <c r="H10" s="366"/>
      <c r="I10" s="366"/>
      <c r="J10"/>
      <c r="K10"/>
      <c r="L10"/>
    </row>
    <row r="11" spans="1:13" ht="15.75" thickBot="1">
      <c r="A11" s="368" t="s">
        <v>1</v>
      </c>
      <c r="B11" s="382" t="s">
        <v>82</v>
      </c>
      <c r="C11" s="369" t="s">
        <v>83</v>
      </c>
      <c r="D11" s="369" t="s">
        <v>84</v>
      </c>
      <c r="E11" s="369" t="s">
        <v>86</v>
      </c>
      <c r="F11" s="369" t="s">
        <v>85</v>
      </c>
      <c r="G11" s="1266" t="s">
        <v>87</v>
      </c>
      <c r="H11" s="1267"/>
      <c r="J11"/>
      <c r="K11"/>
      <c r="L11"/>
    </row>
    <row r="12" spans="1:13" ht="15.75">
      <c r="A12" s="370">
        <v>1</v>
      </c>
      <c r="B12" s="383" t="str">
        <f>IF('Day 1'!HN16="","",'Day 1'!HN16)</f>
        <v>58,75</v>
      </c>
      <c r="C12" s="371" t="str">
        <f>IF('Day 1'!$HW12="","",'Day 1'!$HW12)</f>
        <v>Dimitry Khomitsevich</v>
      </c>
      <c r="D12" s="371" t="str">
        <f>IF('Day 1'!$HW13="","",'Day 1'!$HW13)</f>
        <v>Franz Zorn</v>
      </c>
      <c r="E12" s="371" t="str">
        <f>IF('Day 1'!$HW14="","",'Day 1'!$HW14)</f>
        <v>Jan Klatovsky</v>
      </c>
      <c r="F12" s="371" t="str">
        <f>IF('Day 1'!$HW15="","",'Day 1'!$HW15)</f>
        <v>Per-Anders Lindstrom</v>
      </c>
      <c r="G12" s="371" t="str">
        <f>IF('Day 1'!$HW16="","",'Day 1'!$HW16)</f>
        <v/>
      </c>
      <c r="H12" s="372"/>
      <c r="J12" s="1274" t="s">
        <v>328</v>
      </c>
      <c r="K12" s="1275"/>
      <c r="L12"/>
      <c r="M12"/>
    </row>
    <row r="13" spans="1:13" ht="15.75">
      <c r="A13" s="373">
        <v>2</v>
      </c>
      <c r="B13" s="384" t="str">
        <f>IF('Day 1'!HN21="","",'Day 1'!HN21)</f>
        <v>58,84</v>
      </c>
      <c r="C13" s="374" t="str">
        <f>IF('Day 1'!$HW17="","",'Day 1'!$HW17)</f>
        <v>Igor Kononov</v>
      </c>
      <c r="D13" s="374" t="str">
        <f>IF('Day 1'!$HW18="","",'Day 1'!$HW18)</f>
        <v>Gunter Bauer</v>
      </c>
      <c r="E13" s="374" t="str">
        <f>IF('Day 1'!$HW19="","",'Day 1'!$HW19)</f>
        <v>Antonin Klatovsky</v>
      </c>
      <c r="F13" s="374" t="str">
        <f>IF('Day 1'!$HW20="","",'Day 1'!$HW20)</f>
        <v>Simon Reitsma</v>
      </c>
      <c r="G13" s="374" t="str">
        <f>IF('Day 1'!$HW21="","",'Day 1'!$HW21)</f>
        <v>Rene Stellingwerf (N)</v>
      </c>
      <c r="H13" s="375"/>
      <c r="J13" s="1276"/>
      <c r="K13" s="1277"/>
      <c r="L13"/>
      <c r="M13"/>
    </row>
    <row r="14" spans="1:13" ht="15.75">
      <c r="A14" s="373">
        <v>3</v>
      </c>
      <c r="B14" s="384" t="str">
        <f>IF('Day 1'!HN26="","",'Day 1'!HN26)</f>
        <v>59,25</v>
      </c>
      <c r="C14" s="374" t="str">
        <f>IF('Day 1'!$HW22="","",'Day 1'!$HW22)</f>
        <v>Daniil Ivanov</v>
      </c>
      <c r="D14" s="374" t="str">
        <f>IF('Day 1'!$HW23="","",'Day 1'!$HW23)</f>
        <v>Vitaly Khomitsevich</v>
      </c>
      <c r="E14" s="374" t="str">
        <f>IF('Day 1'!$HW24="","",'Day 1'!$HW24)</f>
        <v>Harald Simon</v>
      </c>
      <c r="F14" s="374" t="str">
        <f>IF('Day 1'!$HW25="","",'Day 1'!$HW25)</f>
        <v>Hans Weber</v>
      </c>
      <c r="G14" s="374" t="str">
        <f>IF('Day 1'!$HW26="","",'Day 1'!$HW26)</f>
        <v/>
      </c>
      <c r="H14" s="375"/>
      <c r="J14" s="1276"/>
      <c r="K14" s="1277"/>
      <c r="L14"/>
      <c r="M14"/>
    </row>
    <row r="15" spans="1:13" ht="16.5" thickBot="1">
      <c r="A15" s="376">
        <v>4</v>
      </c>
      <c r="B15" s="385" t="str">
        <f>IF('Day 1'!HN31="","",'Day 1'!HN31)</f>
        <v>58,81</v>
      </c>
      <c r="C15" s="377" t="str">
        <f>IF('Day 1'!$HW27="","",'Day 1'!$HW27)</f>
        <v>Dimitry Koltakov</v>
      </c>
      <c r="D15" s="377" t="str">
        <f>IF('Day 1'!$HW28="","",'Day 1'!$HW28)</f>
        <v>Stefan Svensson</v>
      </c>
      <c r="E15" s="377" t="str">
        <f>IF('Day 1'!$HW29="","",'Day 1'!$HW29)</f>
        <v>Daniel Henderson</v>
      </c>
      <c r="F15" s="377" t="str">
        <f>IF('Day 1'!$HW30="","",'Day 1'!$HW30)</f>
        <v>Stefan Pletschacher</v>
      </c>
      <c r="G15" s="377" t="str">
        <f>IF('Day 1'!$HW31="","",'Day 1'!$HW31)</f>
        <v/>
      </c>
      <c r="H15" s="378"/>
      <c r="J15" s="1278"/>
      <c r="K15" s="1279"/>
      <c r="L15"/>
      <c r="M15"/>
    </row>
    <row r="16" spans="1:13" s="13" customFormat="1" ht="13.9" customHeight="1" thickBot="1">
      <c r="A16" s="1268" t="s">
        <v>69</v>
      </c>
      <c r="B16" s="1268"/>
      <c r="C16" s="1268"/>
      <c r="D16" s="1268"/>
      <c r="E16" s="1268"/>
      <c r="F16" s="1268"/>
      <c r="G16" s="1268"/>
      <c r="H16" s="1268"/>
      <c r="J16"/>
      <c r="K16"/>
      <c r="L16"/>
      <c r="M16"/>
    </row>
    <row r="17" spans="1:13" ht="15.75">
      <c r="A17" s="370">
        <v>5</v>
      </c>
      <c r="B17" s="383" t="str">
        <f>IF('Day 1'!HN36="","",'Day 1'!HN36)</f>
        <v>60,28</v>
      </c>
      <c r="C17" s="371" t="str">
        <f>IF('Day 1'!$HW32="","",'Day 1'!$HW32)</f>
        <v>Daniil Ivanov</v>
      </c>
      <c r="D17" s="371" t="str">
        <f>IF('Day 1'!$HW33="","",'Day 1'!$HW33)</f>
        <v>Daniel Henderson</v>
      </c>
      <c r="E17" s="371" t="str">
        <f>IF('Day 1'!$HW34="","",'Day 1'!$HW34)</f>
        <v>Antonin Klatovsky</v>
      </c>
      <c r="F17" s="371" t="str">
        <f>IF('Day 1'!$HW35="","",'Day 1'!$HW35)</f>
        <v>Per-Anders Lindstrom</v>
      </c>
      <c r="G17" s="371" t="str">
        <f>IF('Day 1'!$HW36="","",'Day 1'!$HW36)</f>
        <v/>
      </c>
      <c r="H17" s="372"/>
      <c r="J17"/>
      <c r="K17"/>
      <c r="L17"/>
      <c r="M17"/>
    </row>
    <row r="18" spans="1:13" ht="15.75" customHeight="1">
      <c r="A18" s="373">
        <v>6</v>
      </c>
      <c r="B18" s="384" t="str">
        <f>IF('Day 1'!HN41="","",'Day 1'!HN41)</f>
        <v>60,78</v>
      </c>
      <c r="C18" s="374" t="str">
        <f>IF('Day 1'!$HW37="","",'Day 1'!$HW37)</f>
        <v>Dimitry Khomitsevich</v>
      </c>
      <c r="D18" s="374" t="str">
        <f>IF('Day 1'!$HW38="","",'Day 1'!$HW38)</f>
        <v>Hans Weber</v>
      </c>
      <c r="E18" s="374" t="str">
        <f>IF('Day 1'!$HW39="","",'Day 1'!$HW39)</f>
        <v>Stefan Pletschacher</v>
      </c>
      <c r="F18" s="374" t="str">
        <f>IF('Day 1'!$HW40="","",'Day 1'!$HW40)</f>
        <v>Simon Reitsma</v>
      </c>
      <c r="G18" s="374" t="str">
        <f>IF('Day 1'!$HW41="","",'Day 1'!$HW41)</f>
        <v>Rene Stellingwerf (N)</v>
      </c>
      <c r="H18" s="375"/>
    </row>
    <row r="19" spans="1:13" ht="15.75">
      <c r="A19" s="373">
        <v>7</v>
      </c>
      <c r="B19" s="384" t="str">
        <f>IF('Day 1'!HN46="","",'Day 1'!HN46)</f>
        <v>58,63</v>
      </c>
      <c r="C19" s="374" t="str">
        <f>IF('Day 1'!$HW42="","",'Day 1'!$HW42)</f>
        <v>Dimitry Koltakov</v>
      </c>
      <c r="D19" s="374" t="str">
        <f>IF('Day 1'!$HW43="","",'Day 1'!$HW43)</f>
        <v>Igor Kononov</v>
      </c>
      <c r="E19" s="374" t="str">
        <f>IF('Day 1'!$HW44="","",'Day 1'!$HW44)</f>
        <v>Franz Zorn</v>
      </c>
      <c r="F19" s="374" t="str">
        <f>IF('Day 1'!$HW45="","",'Day 1'!$HW45)</f>
        <v>Harald Simon</v>
      </c>
      <c r="G19" s="374" t="str">
        <f>IF('Day 1'!$HW46="","",'Day 1'!$HW46)</f>
        <v/>
      </c>
      <c r="H19" s="375"/>
    </row>
    <row r="20" spans="1:13" ht="16.5" thickBot="1">
      <c r="A20" s="376">
        <v>8</v>
      </c>
      <c r="B20" s="385" t="str">
        <f>IF('Day 1'!HN51="","",'Day 1'!HN51)</f>
        <v>61,66</v>
      </c>
      <c r="C20" s="377" t="str">
        <f>IF('Day 1'!$HW47="","",'Day 1'!$HW47)</f>
        <v>Vitaly Khomitsevich</v>
      </c>
      <c r="D20" s="377" t="str">
        <f>IF('Day 1'!$HW48="","",'Day 1'!$HW48)</f>
        <v>Gunter Bauer</v>
      </c>
      <c r="E20" s="377" t="str">
        <f>IF('Day 1'!$HW49="","",'Day 1'!$HW49)</f>
        <v>Stefan Svensson</v>
      </c>
      <c r="F20" s="377" t="str">
        <f>IF('Day 1'!$HW50="","",'Day 1'!$HW50)</f>
        <v>Jan Klatovsky</v>
      </c>
      <c r="G20" s="377" t="str">
        <f>IF('Day 1'!$HW51="","",'Day 1'!$HW51)</f>
        <v/>
      </c>
      <c r="H20" s="378"/>
    </row>
    <row r="21" spans="1:13" s="13" customFormat="1" ht="13.9" customHeight="1" thickBot="1">
      <c r="A21" s="1268" t="s">
        <v>69</v>
      </c>
      <c r="B21" s="1268"/>
      <c r="C21" s="1268"/>
      <c r="D21" s="1268"/>
      <c r="E21" s="1268"/>
      <c r="F21" s="1268"/>
      <c r="G21" s="1268"/>
      <c r="H21" s="1268"/>
    </row>
    <row r="22" spans="1:13" ht="15.75">
      <c r="A22" s="370">
        <v>9</v>
      </c>
      <c r="B22" s="383" t="str">
        <f>IF('Day 1'!HX16="","",'Day 1'!HX16)</f>
        <v>62,82</v>
      </c>
      <c r="C22" s="371" t="str">
        <f>IF('Day 1'!$IG12="","",'Day 1'!$IG12)</f>
        <v>Stefan Svensson</v>
      </c>
      <c r="D22" s="371" t="str">
        <f>IF('Day 1'!$IG13="","",'Day 1'!$IG13)</f>
        <v>Harald Simon</v>
      </c>
      <c r="E22" s="371" t="str">
        <f>IF('Day 1'!$IG14="","",'Day 1'!$IG14)</f>
        <v>Per-Anders Lindstrom</v>
      </c>
      <c r="F22" s="371" t="str">
        <f>IF('Day 1'!$IG15="","",'Day 1'!$IG15)</f>
        <v>Simon Reitsma</v>
      </c>
      <c r="G22" s="371" t="str">
        <f>IF('Day 1'!$IG16="","",'Day 1'!$IG16)</f>
        <v>Rene Stellingwerf (N)</v>
      </c>
      <c r="H22" s="372"/>
      <c r="J22" s="1269" t="s">
        <v>136</v>
      </c>
      <c r="K22"/>
      <c r="L22"/>
      <c r="M22"/>
    </row>
    <row r="23" spans="1:13" ht="15.75">
      <c r="A23" s="373">
        <v>10</v>
      </c>
      <c r="B23" s="384" t="str">
        <f>IF('Day 1'!HX21="","",'Day 1'!HX21)</f>
        <v>59,13</v>
      </c>
      <c r="C23" s="374" t="str">
        <f>IF('Day 1'!$IG17="","",'Day 1'!$IG17)</f>
        <v>Dimitry Koltakov</v>
      </c>
      <c r="D23" s="374" t="str">
        <f>IF('Day 1'!$IG18="","",'Day 1'!$IG18)</f>
        <v>Dimitry Khomitsevich</v>
      </c>
      <c r="E23" s="374" t="str">
        <f>IF('Day 1'!$IG19="","",'Day 1'!$IG19)</f>
        <v>Vitaly Khomitsevich</v>
      </c>
      <c r="F23" s="374" t="str">
        <f>IF('Day 1'!$IG20="","",'Day 1'!$IG20)</f>
        <v>Antonin Klatovsky</v>
      </c>
      <c r="G23" s="374" t="str">
        <f>IF('Day 1'!$IG21="","",'Day 1'!$IG21)</f>
        <v/>
      </c>
      <c r="H23" s="375"/>
      <c r="J23" s="1270"/>
      <c r="K23"/>
      <c r="L23"/>
      <c r="M23"/>
    </row>
    <row r="24" spans="1:13" ht="16.5" thickBot="1">
      <c r="A24" s="373">
        <v>11</v>
      </c>
      <c r="B24" s="384" t="str">
        <f>IF('Day 1'!HX26="","",'Day 1'!HX26)</f>
        <v>61,35</v>
      </c>
      <c r="C24" s="374" t="str">
        <f>IF('Day 1'!$IG22="","",'Day 1'!$IG22)</f>
        <v>Daniil Ivanov</v>
      </c>
      <c r="D24" s="374" t="str">
        <f>IF('Day 1'!$IG23="","",'Day 1'!$IG23)</f>
        <v>Franz Zorn</v>
      </c>
      <c r="E24" s="374" t="str">
        <f>IF('Day 1'!$IG24="","",'Day 1'!$IG24)</f>
        <v>Gunter Bauer</v>
      </c>
      <c r="F24" s="374" t="str">
        <f>IF('Day 1'!$IG25="","",'Day 1'!$IG25)</f>
        <v>Stefan Pletschacher</v>
      </c>
      <c r="G24" s="374" t="str">
        <f>IF('Day 1'!$IG26="","",'Day 1'!$IG26)</f>
        <v/>
      </c>
      <c r="H24" s="375"/>
      <c r="J24" s="1271"/>
      <c r="K24"/>
      <c r="L24"/>
      <c r="M24"/>
    </row>
    <row r="25" spans="1:13" ht="16.5" thickBot="1">
      <c r="A25" s="376">
        <v>12</v>
      </c>
      <c r="B25" s="385" t="str">
        <f>IF('Day 1'!HX31="","",'Day 1'!HX31)</f>
        <v>63,19</v>
      </c>
      <c r="C25" s="377" t="str">
        <f>IF('Day 1'!$IG27="","",'Day 1'!$IG27)</f>
        <v>Igor Kononov</v>
      </c>
      <c r="D25" s="377" t="str">
        <f>IF('Day 1'!$IG28="","",'Day 1'!$IG28)</f>
        <v>Hans Weber</v>
      </c>
      <c r="E25" s="377" t="str">
        <f>IF('Day 1'!$IG29="","",'Day 1'!$IG29)</f>
        <v>Daniel Henderson</v>
      </c>
      <c r="F25" s="377" t="str">
        <f>IF('Day 1'!$IG30="","",'Day 1'!$IG30)</f>
        <v>Jan Klatovsky</v>
      </c>
      <c r="G25" s="377" t="str">
        <f>IF('Day 1'!$IG31="","",'Day 1'!$IG31)</f>
        <v/>
      </c>
      <c r="H25" s="378"/>
    </row>
    <row r="26" spans="1:13" s="13" customFormat="1" ht="13.5" thickBot="1">
      <c r="A26" s="1268" t="s">
        <v>94</v>
      </c>
      <c r="B26" s="1268"/>
      <c r="C26" s="1268"/>
      <c r="D26" s="1268"/>
      <c r="E26" s="1268"/>
      <c r="F26" s="1268"/>
      <c r="G26" s="1268"/>
      <c r="H26" s="1268"/>
    </row>
    <row r="27" spans="1:13" ht="15.75">
      <c r="A27" s="370">
        <v>13</v>
      </c>
      <c r="B27" s="383" t="str">
        <f>IF('Day 1'!HX36="","",'Day 1'!HX36)</f>
        <v>61,34</v>
      </c>
      <c r="C27" s="371" t="str">
        <f>IF('Day 1'!$IG32="","",'Day 1'!$IG32)</f>
        <v>Igor Kononov</v>
      </c>
      <c r="D27" s="371" t="str">
        <f>IF('Day 1'!$IG33="","",'Day 1'!$IG33)</f>
        <v>Vitaly Khomitsevich</v>
      </c>
      <c r="E27" s="371" t="str">
        <f>IF('Day 1'!$IG34="","",'Day 1'!$IG34)</f>
        <v>Per-Anders Lindstrom</v>
      </c>
      <c r="F27" s="371" t="str">
        <f>IF('Day 1'!$IG35="","",'Day 1'!$IG35)</f>
        <v>Stefan Pletschacher</v>
      </c>
      <c r="G27" s="371" t="str">
        <f>IF('Day 1'!$IG36="","",'Day 1'!$IG36)</f>
        <v/>
      </c>
      <c r="H27" s="372"/>
    </row>
    <row r="28" spans="1:13" ht="15.75">
      <c r="A28" s="373">
        <v>14</v>
      </c>
      <c r="B28" s="384" t="str">
        <f>IF('Day 1'!HX41="","",'Day 1'!HX41)</f>
        <v>62,38</v>
      </c>
      <c r="C28" s="374" t="str">
        <f>IF('Day 1'!$IG37="","",'Day 1'!$IG37)</f>
        <v>Dimitry Khomitsevich</v>
      </c>
      <c r="D28" s="374" t="str">
        <f>IF('Day 1'!$IG38="","",'Day 1'!$IG38)</f>
        <v>Gunter Bauer</v>
      </c>
      <c r="E28" s="374" t="str">
        <f>IF('Day 1'!$IG39="","",'Day 1'!$IG39)</f>
        <v>Harald Simon</v>
      </c>
      <c r="F28" s="374" t="str">
        <f>IF('Day 1'!$IG40="","",'Day 1'!$IG40)</f>
        <v>Daniel Henderson</v>
      </c>
      <c r="G28" s="374" t="str">
        <f>IF('Day 1'!$IG41="","",'Day 1'!$IG41)</f>
        <v/>
      </c>
      <c r="H28" s="375"/>
    </row>
    <row r="29" spans="1:13" ht="15.75">
      <c r="A29" s="373">
        <v>15</v>
      </c>
      <c r="B29" s="384" t="str">
        <f>IF('Day 1'!HX46="","",'Day 1'!HX46)</f>
        <v>62,25</v>
      </c>
      <c r="C29" s="374" t="str">
        <f>IF('Day 1'!$IG42="","",'Day 1'!$IG42)</f>
        <v>Franz Zorn</v>
      </c>
      <c r="D29" s="374" t="str">
        <f>IF('Day 1'!$IG43="","",'Day 1'!$IG43)</f>
        <v>Stefan Svensson</v>
      </c>
      <c r="E29" s="374" t="str">
        <f>IF('Day 1'!$IG44="","",'Day 1'!$IG44)</f>
        <v>Hans Weber</v>
      </c>
      <c r="F29" s="374" t="str">
        <f>IF('Day 1'!$IG45="","",'Day 1'!$IG45)</f>
        <v>Antonin Klatovsky</v>
      </c>
      <c r="G29" s="374" t="str">
        <f>IF('Day 1'!$IG46="","",'Day 1'!$IG46)</f>
        <v/>
      </c>
      <c r="H29" s="375"/>
    </row>
    <row r="30" spans="1:13" ht="16.5" thickBot="1">
      <c r="A30" s="376">
        <v>16</v>
      </c>
      <c r="B30" s="385" t="str">
        <f>IF('Day 1'!HX51="","",'Day 1'!HX51)</f>
        <v>60,85</v>
      </c>
      <c r="C30" s="377" t="str">
        <f>IF('Day 1'!$IG47="","",'Day 1'!$IG47)</f>
        <v>Dimitry Koltakov</v>
      </c>
      <c r="D30" s="377" t="str">
        <f>IF('Day 1'!$IG48="","",'Day 1'!$IG48)</f>
        <v>Daniil Ivanov</v>
      </c>
      <c r="E30" s="377" t="str">
        <f>IF('Day 1'!$IG49="","",'Day 1'!$IG49)</f>
        <v>Jan Klatovsky</v>
      </c>
      <c r="F30" s="377" t="str">
        <f>IF('Day 1'!$IG50="","",'Day 1'!$IG50)</f>
        <v>Simon Reitsma</v>
      </c>
      <c r="G30" s="377" t="str">
        <f>IF('Day 1'!$IG51="","",'Day 1'!$IG51)</f>
        <v>Rene Stellingwerf (N)</v>
      </c>
      <c r="H30" s="378"/>
    </row>
    <row r="31" spans="1:13" s="13" customFormat="1" ht="13.5" thickBot="1">
      <c r="A31" s="1268" t="s">
        <v>69</v>
      </c>
      <c r="B31" s="1268"/>
      <c r="C31" s="1268"/>
      <c r="D31" s="1268"/>
      <c r="E31" s="1268"/>
      <c r="F31" s="1268"/>
      <c r="G31" s="1268"/>
      <c r="H31" s="1268"/>
    </row>
    <row r="32" spans="1:13" ht="15.75">
      <c r="A32" s="370">
        <v>17</v>
      </c>
      <c r="B32" s="383" t="str">
        <f>IF('Day 1'!IH16="","",'Day 1'!IH16)</f>
        <v>62,81</v>
      </c>
      <c r="C32" s="371" t="str">
        <f>IF('Day 1'!$IQ12="","",'Day 1'!$IQ12)</f>
        <v>Dimitry Koltakov</v>
      </c>
      <c r="D32" s="371" t="str">
        <f>IF('Day 1'!$IQ13="","",'Day 1'!$IQ13)</f>
        <v>Gunter Bauer</v>
      </c>
      <c r="E32" s="371" t="str">
        <f>IF('Day 1'!$IQ14="","",'Day 1'!$IQ14)</f>
        <v>Hans Weber</v>
      </c>
      <c r="F32" s="371" t="str">
        <f>IF('Day 1'!$IQ15="","",'Day 1'!$IQ15)</f>
        <v>Per-Anders Lindstrom</v>
      </c>
      <c r="G32" s="371" t="str">
        <f>IF('Day 1'!$IQ16="","",'Day 1'!$IQ16)</f>
        <v/>
      </c>
      <c r="H32" s="372"/>
    </row>
    <row r="33" spans="1:8" ht="15.75">
      <c r="A33" s="373">
        <v>18</v>
      </c>
      <c r="B33" s="384" t="str">
        <f>IF('Day 1'!IH21="","",'Day 1'!IH21)</f>
        <v>62,56</v>
      </c>
      <c r="C33" s="374" t="str">
        <f>IF('Day 1'!$IQ17="","",'Day 1'!$IQ17)</f>
        <v>Dimitry Khomitsevich</v>
      </c>
      <c r="D33" s="374" t="str">
        <f>IF('Day 1'!$IQ18="","",'Day 1'!$IQ18)</f>
        <v>Daniil Ivanov</v>
      </c>
      <c r="E33" s="374" t="str">
        <f>IF('Day 1'!$IQ19="","",'Day 1'!$IQ19)</f>
        <v>Igor Kononov</v>
      </c>
      <c r="F33" s="374" t="str">
        <f>IF('Day 1'!$IQ20="","",'Day 1'!$IQ20)</f>
        <v>Stefan Svensson</v>
      </c>
      <c r="G33" s="374" t="str">
        <f>IF('Day 1'!$IQ21="","",'Day 1'!$IQ21)</f>
        <v/>
      </c>
      <c r="H33" s="375"/>
    </row>
    <row r="34" spans="1:8" ht="15.75">
      <c r="A34" s="373">
        <v>19</v>
      </c>
      <c r="B34" s="384" t="str">
        <f>IF('Day 1'!IH26="","",'Day 1'!IH26)</f>
        <v>64,38</v>
      </c>
      <c r="C34" s="374" t="str">
        <f>IF('Day 1'!$IQ22="","",'Day 1'!$IQ22)</f>
        <v>Vitaly Khomitsevich</v>
      </c>
      <c r="D34" s="374" t="str">
        <f>IF('Day 1'!$IQ23="","",'Day 1'!$IQ23)</f>
        <v>Franz Zorn</v>
      </c>
      <c r="E34" s="374" t="str">
        <f>IF('Day 1'!$IQ24="","",'Day 1'!$IQ24)</f>
        <v>Daniel Henderson</v>
      </c>
      <c r="F34" s="374" t="str">
        <f>IF('Day 1'!$IQ25="","",'Day 1'!$IQ25)</f>
        <v>Simon Reitsma</v>
      </c>
      <c r="G34" s="374" t="str">
        <f>IF('Day 1'!$IQ26="","",'Day 1'!$IQ26)</f>
        <v>Rene Stellingwerf (N)</v>
      </c>
      <c r="H34" s="375"/>
    </row>
    <row r="35" spans="1:8" ht="16.5" thickBot="1">
      <c r="A35" s="376">
        <v>20</v>
      </c>
      <c r="B35" s="385" t="str">
        <f>IF('Day 1'!IH31="","",'Day 1'!IH31)</f>
        <v>65,00</v>
      </c>
      <c r="C35" s="377" t="str">
        <f>IF('Day 1'!$IQ27="","",'Day 1'!$IQ27)</f>
        <v>Antonin Klatovsky</v>
      </c>
      <c r="D35" s="377" t="str">
        <f>IF('Day 1'!$IQ28="","",'Day 1'!$IQ28)</f>
        <v>Jan Klatovsky</v>
      </c>
      <c r="E35" s="377" t="str">
        <f>IF('Day 1'!$IQ29="","",'Day 1'!$IQ29)</f>
        <v>Stefan Pletschacher</v>
      </c>
      <c r="F35" s="377" t="str">
        <f>IF('Day 1'!$IQ30="","",'Day 1'!$IQ30)</f>
        <v>Harald Simon</v>
      </c>
      <c r="G35" s="377" t="str">
        <f>IF('Day 1'!$IQ31="","",'Day 1'!$IQ31)</f>
        <v/>
      </c>
      <c r="H35" s="378"/>
    </row>
    <row r="36" spans="1:8" s="13" customFormat="1" ht="13.5" thickBot="1">
      <c r="A36" s="1268" t="s">
        <v>95</v>
      </c>
      <c r="B36" s="1268"/>
      <c r="C36" s="1268"/>
      <c r="D36" s="1268"/>
      <c r="E36" s="1268"/>
      <c r="F36" s="1268"/>
      <c r="G36" s="1268"/>
      <c r="H36" s="1268"/>
    </row>
    <row r="37" spans="1:8" ht="16.5" thickBot="1">
      <c r="A37" s="379" t="s">
        <v>92</v>
      </c>
      <c r="B37" s="382" t="str">
        <f>IF('Day 1'!IH41="","",'Day 1'!IH41)</f>
        <v>61,94</v>
      </c>
      <c r="C37" s="380" t="str">
        <f>IF('Day 1'!$IQ37="","",'Day 1'!$IQ37)</f>
        <v>Dimitry Koltakov</v>
      </c>
      <c r="D37" s="380" t="str">
        <f>IF('Day 1'!$IQ38="","",'Day 1'!$IQ38)</f>
        <v>Igor Kononov</v>
      </c>
      <c r="E37" s="380" t="str">
        <f>IF('Day 1'!$IQ39="","",'Day 1'!$IQ39)</f>
        <v>Franz Zorn</v>
      </c>
      <c r="F37" s="380" t="str">
        <f>IF('Day 1'!$IQ40="","",'Day 1'!$IQ40)</f>
        <v>Gunter Bauer</v>
      </c>
      <c r="G37" s="380" t="str">
        <f>IF('Day 1'!$IQ41="","",'Day 1'!$IQ41)</f>
        <v/>
      </c>
      <c r="H37" s="381"/>
    </row>
    <row r="38" spans="1:8" s="13" customFormat="1" ht="13.5" thickBot="1">
      <c r="A38" s="1268" t="s">
        <v>95</v>
      </c>
      <c r="B38" s="1268"/>
      <c r="C38" s="1268"/>
      <c r="D38" s="1268"/>
      <c r="E38" s="1268"/>
      <c r="F38" s="1268"/>
      <c r="G38" s="1268"/>
      <c r="H38" s="1268"/>
    </row>
    <row r="39" spans="1:8" ht="16.5" thickBot="1">
      <c r="A39" s="379" t="s">
        <v>93</v>
      </c>
      <c r="B39" s="382" t="str">
        <f>IF('Day 1'!IH46="","",'Day 1'!IH46)</f>
        <v>62,81</v>
      </c>
      <c r="C39" s="380" t="str">
        <f>IF('Day 1'!$IQ42="","",'Day 1'!$IQ42)</f>
        <v>Dimitry Khomitsevich</v>
      </c>
      <c r="D39" s="380" t="str">
        <f>IF('Day 1'!$IQ43="","",'Day 1'!$IQ43)</f>
        <v>Daniil Ivanov</v>
      </c>
      <c r="E39" s="380" t="str">
        <f>IF('Day 1'!$IQ44="","",'Day 1'!$IQ44)</f>
        <v>Vitaly Khomitsevich</v>
      </c>
      <c r="F39" s="380" t="str">
        <f>IF('Day 1'!$IQ45="","",'Day 1'!$IQ45)</f>
        <v>Stefan Svensson</v>
      </c>
      <c r="G39" s="380" t="str">
        <f>IF('Day 1'!$IQ46="","",'Day 1'!$IQ46)</f>
        <v/>
      </c>
      <c r="H39" s="381"/>
    </row>
    <row r="40" spans="1:8" s="13" customFormat="1" ht="13.5" thickBot="1">
      <c r="A40" s="1268" t="s">
        <v>95</v>
      </c>
      <c r="B40" s="1268"/>
      <c r="C40" s="1268"/>
      <c r="D40" s="1268"/>
      <c r="E40" s="1268"/>
      <c r="F40" s="1268"/>
      <c r="G40" s="1268"/>
      <c r="H40" s="1268"/>
    </row>
    <row r="41" spans="1:8" ht="16.149999999999999" customHeight="1" thickBot="1">
      <c r="A41" s="379" t="s">
        <v>63</v>
      </c>
      <c r="B41" s="382" t="str">
        <f>IF('Day 1'!IH51="","",'Day 1'!IH51)</f>
        <v>62,06</v>
      </c>
      <c r="C41" s="380" t="str">
        <f>IF('Day 1'!$IQ47="","",'Day 1'!$IQ47)</f>
        <v>Dimitry Koltakov</v>
      </c>
      <c r="D41" s="380" t="str">
        <f>IF('Day 1'!$IQ48="","",'Day 1'!$IQ48)</f>
        <v>Daniil Ivanov</v>
      </c>
      <c r="E41" s="380" t="str">
        <f>IF('Day 1'!$IQ49="","",'Day 1'!$IQ49)</f>
        <v>Dimitry Khomitsevich</v>
      </c>
      <c r="F41" s="380" t="str">
        <f>IF('Day 1'!$IQ50="","",'Day 1'!$IQ50)</f>
        <v>Igor Kononov</v>
      </c>
      <c r="G41" s="380" t="str">
        <f>IF('Day 1'!$IQ51="","",'Day 1'!$IQ51)</f>
        <v/>
      </c>
      <c r="H41" s="381"/>
    </row>
    <row r="42" spans="1:8" ht="4.9000000000000004" customHeight="1" thickBot="1">
      <c r="A42" s="471"/>
      <c r="B42" s="549"/>
      <c r="C42" s="471"/>
      <c r="D42" s="471"/>
      <c r="E42" s="471"/>
      <c r="F42" s="471"/>
      <c r="G42" s="471"/>
      <c r="H42" s="471"/>
    </row>
    <row r="43" spans="1:8" ht="15.75">
      <c r="A43" s="1280" t="s">
        <v>317</v>
      </c>
      <c r="B43" s="1281"/>
      <c r="C43" s="931" t="s">
        <v>318</v>
      </c>
      <c r="D43" s="932"/>
      <c r="E43" s="933" t="s">
        <v>322</v>
      </c>
      <c r="F43" s="934"/>
      <c r="G43" s="935" t="s">
        <v>319</v>
      </c>
    </row>
    <row r="44" spans="1:8" ht="4.9000000000000004" customHeight="1">
      <c r="A44" s="1282"/>
      <c r="B44" s="1283"/>
      <c r="C44" s="936"/>
      <c r="D44" s="937"/>
      <c r="E44" s="938"/>
      <c r="F44" s="939"/>
      <c r="G44" s="940"/>
    </row>
    <row r="45" spans="1:8" ht="16.5" thickBot="1">
      <c r="A45" s="1284"/>
      <c r="B45" s="1285"/>
      <c r="C45" s="941" t="s">
        <v>320</v>
      </c>
      <c r="D45" s="942"/>
      <c r="E45" s="943" t="s">
        <v>316</v>
      </c>
      <c r="F45" s="944"/>
      <c r="G45" s="945" t="s">
        <v>321</v>
      </c>
    </row>
    <row r="46" spans="1:8" ht="4.9000000000000004" customHeight="1">
      <c r="B46" s="387"/>
    </row>
    <row r="47" spans="1:8" ht="18">
      <c r="A47" s="1288" t="s">
        <v>128</v>
      </c>
      <c r="B47" s="1287"/>
      <c r="C47" s="1287"/>
      <c r="D47" s="1287"/>
      <c r="E47" s="1287"/>
      <c r="F47" s="1287"/>
      <c r="G47" s="1287"/>
      <c r="H47" s="1287"/>
    </row>
    <row r="48" spans="1:8">
      <c r="A48" s="1286" t="s">
        <v>134</v>
      </c>
      <c r="B48" s="1287"/>
      <c r="C48" s="1287"/>
      <c r="D48" s="1287"/>
      <c r="E48" s="1287"/>
      <c r="F48" s="1287"/>
      <c r="G48" s="1287"/>
      <c r="H48" s="1287"/>
    </row>
  </sheetData>
  <sheetProtection password="E041" sheet="1" objects="1" scenarios="1" formatCells="0" formatColumns="0" formatRows="0"/>
  <mergeCells count="16">
    <mergeCell ref="A40:H40"/>
    <mergeCell ref="A43:B45"/>
    <mergeCell ref="A48:H48"/>
    <mergeCell ref="A31:H31"/>
    <mergeCell ref="A47:H47"/>
    <mergeCell ref="A38:H38"/>
    <mergeCell ref="A36:H36"/>
    <mergeCell ref="A1:H1"/>
    <mergeCell ref="G11:H11"/>
    <mergeCell ref="A16:H16"/>
    <mergeCell ref="J22:J24"/>
    <mergeCell ref="A26:H26"/>
    <mergeCell ref="D5:E5"/>
    <mergeCell ref="D7:E7"/>
    <mergeCell ref="A21:H21"/>
    <mergeCell ref="J12:K15"/>
  </mergeCells>
  <phoneticPr fontId="32" type="noConversion"/>
  <printOptions horizontalCentered="1" verticalCentered="1"/>
  <pageMargins left="0.39370078740157483" right="0.39370078740157483" top="0.43307086614173229" bottom="0.32" header="0" footer="0.19685039370078741"/>
  <pageSetup paperSize="9" scale="78" orientation="landscape" horizontalDpi="4294967293" verticalDpi="4294967293"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00FF00"/>
    <pageSetUpPr fitToPage="1"/>
  </sheetPr>
  <dimension ref="A1:CV43"/>
  <sheetViews>
    <sheetView showGridLines="0" tabSelected="1" zoomScale="90" zoomScaleNormal="90" workbookViewId="0">
      <selection activeCell="J32" sqref="J32"/>
    </sheetView>
  </sheetViews>
  <sheetFormatPr defaultColWidth="8.85546875" defaultRowHeight="12.75"/>
  <cols>
    <col min="1" max="1" width="8.85546875" style="13"/>
    <col min="2" max="2" width="8" style="290" customWidth="1"/>
    <col min="3" max="3" width="5.28515625" style="290" hidden="1" customWidth="1"/>
    <col min="4" max="4" width="11.42578125" style="290" customWidth="1"/>
    <col min="5" max="5" width="36.140625" style="290" hidden="1" customWidth="1"/>
    <col min="6" max="6" width="32.85546875" style="290" customWidth="1"/>
    <col min="7" max="7" width="12.140625" style="290" customWidth="1"/>
    <col min="8" max="8" width="11.28515625" style="316" customWidth="1"/>
    <col min="9" max="9" width="10.85546875" style="290" customWidth="1"/>
    <col min="10" max="11" width="8.85546875" style="290"/>
    <col min="12" max="12" width="4.140625" style="290" customWidth="1"/>
    <col min="13" max="13" width="32.85546875" style="290" customWidth="1"/>
    <col min="14" max="14" width="1.7109375" style="290" customWidth="1"/>
    <col min="15" max="15" width="3" style="290" bestFit="1" customWidth="1"/>
    <col min="16" max="16" width="18.85546875" style="290" bestFit="1" customWidth="1"/>
    <col min="17" max="100" width="8.85546875" style="290"/>
    <col min="101" max="16384" width="8.85546875" style="13"/>
  </cols>
  <sheetData>
    <row r="1" spans="1:100" ht="27.75">
      <c r="A1" s="1290" t="str">
        <f>'Day 1 Details'!A1</f>
        <v>MOTUL FIM Ice Speedway Gladiators World Championship. 2015</v>
      </c>
      <c r="B1" s="1290"/>
      <c r="C1" s="1290"/>
      <c r="D1" s="1290"/>
      <c r="E1" s="1290"/>
      <c r="F1" s="1290"/>
      <c r="G1" s="1290"/>
      <c r="H1" s="1290"/>
      <c r="I1" s="1290"/>
      <c r="J1" s="1290"/>
      <c r="K1" s="947"/>
      <c r="L1" s="947"/>
      <c r="M1" s="1240" t="s">
        <v>132</v>
      </c>
      <c r="N1" s="1240"/>
      <c r="O1" s="1240"/>
      <c r="P1" s="1240"/>
      <c r="Q1" s="345"/>
      <c r="R1" s="345"/>
      <c r="S1" s="345"/>
      <c r="T1" s="345"/>
      <c r="U1" s="345"/>
      <c r="V1" s="345"/>
      <c r="W1" s="345"/>
      <c r="X1" s="345"/>
      <c r="Y1" s="345"/>
      <c r="Z1" s="345"/>
      <c r="AA1" s="345"/>
      <c r="AB1" s="345"/>
      <c r="AC1" s="345"/>
      <c r="AD1" s="345"/>
      <c r="AE1" s="345"/>
      <c r="AF1" s="345"/>
      <c r="AG1" s="345"/>
      <c r="AH1" s="345"/>
      <c r="AI1" s="345"/>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c r="CT1" s="13"/>
      <c r="CU1" s="13"/>
      <c r="CV1" s="13"/>
    </row>
    <row r="2" spans="1:100" ht="22.9" customHeight="1">
      <c r="A2" s="1295" t="str">
        <f>"IMN No. "&amp;Draw!T4&amp;".      "&amp;'Day 1 Details'!D3</f>
        <v>IMN No. 504/06.      Round 4 Assen, Netherlands.</v>
      </c>
      <c r="B2" s="1295"/>
      <c r="C2" s="1295"/>
      <c r="D2" s="1295"/>
      <c r="E2" s="1295"/>
      <c r="F2" s="1295"/>
      <c r="G2" s="1295"/>
      <c r="H2" s="1295"/>
      <c r="I2" s="1295"/>
      <c r="J2" s="1295"/>
      <c r="K2" s="948"/>
      <c r="L2" s="948"/>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c r="CT2" s="13"/>
      <c r="CU2" s="13"/>
      <c r="CV2" s="13"/>
    </row>
    <row r="3" spans="1:100" ht="18.75" thickBot="1">
      <c r="B3" s="1292" t="str">
        <f>"Day 1, "&amp;Draw!T8</f>
        <v>Day 1, 7th March 2015</v>
      </c>
      <c r="C3" s="1292"/>
      <c r="D3" s="1292"/>
      <c r="E3" s="1292"/>
      <c r="F3" s="1292"/>
      <c r="G3" s="1292"/>
      <c r="H3" s="1292"/>
      <c r="I3" s="1292"/>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c r="CT3" s="13"/>
      <c r="CU3" s="13"/>
      <c r="CV3" s="13"/>
    </row>
    <row r="4" spans="1:100" ht="20.25">
      <c r="B4" s="1293" t="s">
        <v>77</v>
      </c>
      <c r="C4" s="1293"/>
      <c r="D4" s="1293"/>
      <c r="E4" s="1293"/>
      <c r="F4" s="1293"/>
      <c r="G4" s="1293"/>
      <c r="H4" s="1293"/>
      <c r="I4" s="1293"/>
      <c r="K4" s="1297" t="s">
        <v>129</v>
      </c>
      <c r="L4" s="1298"/>
      <c r="M4" s="1299"/>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c r="CT4" s="13"/>
      <c r="CU4" s="13"/>
      <c r="CV4" s="13"/>
    </row>
    <row r="5" spans="1:100" ht="13.5" thickBot="1">
      <c r="K5" s="1300"/>
      <c r="L5" s="1301"/>
      <c r="M5" s="1302"/>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c r="CT5" s="13"/>
      <c r="CU5" s="13"/>
      <c r="CV5" s="13"/>
    </row>
    <row r="6" spans="1:100" ht="22.15" customHeight="1" thickBot="1">
      <c r="B6" s="317" t="s">
        <v>96</v>
      </c>
      <c r="C6" s="318"/>
      <c r="D6" s="317" t="s">
        <v>253</v>
      </c>
      <c r="E6" s="318"/>
      <c r="F6" s="317" t="s">
        <v>66</v>
      </c>
      <c r="G6" s="317" t="s">
        <v>67</v>
      </c>
      <c r="H6" s="317" t="s">
        <v>97</v>
      </c>
      <c r="I6" s="317" t="s">
        <v>75</v>
      </c>
      <c r="K6" s="317" t="s">
        <v>96</v>
      </c>
      <c r="L6" s="950" t="s">
        <v>4</v>
      </c>
      <c r="M6" s="951" t="s">
        <v>66</v>
      </c>
      <c r="O6" s="1296" t="s">
        <v>324</v>
      </c>
      <c r="P6" s="1296"/>
      <c r="Q6"/>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c r="CT6" s="13"/>
      <c r="CU6" s="13"/>
      <c r="CV6" s="13"/>
    </row>
    <row r="7" spans="1:100" ht="18">
      <c r="B7" s="319" t="s">
        <v>186</v>
      </c>
      <c r="C7" s="403" t="e">
        <f>VLOOKUP(E7,#REF!,3,FALSE)</f>
        <v>#REF!</v>
      </c>
      <c r="D7" s="403">
        <f>IF('Day 1'!BD12="","",IF(L7&lt;&gt;"",L7,'Day 1'!BD12))</f>
        <v>2</v>
      </c>
      <c r="E7" s="459" t="str">
        <f>IF('Day 1'!BE12="","",'Day 1'!BE12)</f>
        <v>Dimitry Koltakov</v>
      </c>
      <c r="F7" s="322" t="str">
        <f>IF('Day 1'!BE12="","",IF(M7&lt;&gt;"",M7,'Day 1'!BE12))</f>
        <v>Dimitry Koltakov</v>
      </c>
      <c r="G7" s="319" t="str">
        <f>IF(D7="","",VLOOKUP($F7,Draw!$B$3:$E$42,3,FALSE))</f>
        <v>MFR</v>
      </c>
      <c r="H7" s="319" t="str">
        <f>IF(E7="","",VLOOKUP($F7,Draw!$B$3:$E$42,4,FALSE))</f>
        <v>RUS</v>
      </c>
      <c r="I7" s="587">
        <f>IF(D7="","",VLOOKUP(F7,'Day 1'!BE$12:BF$29,2,FALSE))</f>
        <v>21</v>
      </c>
      <c r="K7" s="319" t="s">
        <v>186</v>
      </c>
      <c r="L7" s="952"/>
      <c r="M7" s="459" t="str">
        <f t="shared" ref="M7:M22" si="0">IF(L7="","",VLOOKUP(L7,$O$7:$P$24,2,FALSE))</f>
        <v/>
      </c>
      <c r="N7" s="949"/>
      <c r="O7" s="957">
        <f>Draw!I3</f>
        <v>9</v>
      </c>
      <c r="P7" s="956" t="str">
        <f>Draw!H3</f>
        <v>Per-Anders Lindstrom</v>
      </c>
      <c r="Q7"/>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c r="CT7" s="13"/>
      <c r="CU7" s="13"/>
      <c r="CV7" s="13"/>
    </row>
    <row r="8" spans="1:100" ht="18">
      <c r="B8" s="404" t="s">
        <v>169</v>
      </c>
      <c r="C8" s="404" t="e">
        <f>VLOOKUP(E8,#REF!,3,FALSE)</f>
        <v>#REF!</v>
      </c>
      <c r="D8" s="404">
        <f>IF('Day 1'!BD13="","",IF(L8&lt;&gt;"",L8,'Day 1'!BD13))</f>
        <v>1</v>
      </c>
      <c r="E8" s="460" t="str">
        <f>IF('Day 1'!BE13="","",'Day 1'!BE13)</f>
        <v>Daniil Ivanov</v>
      </c>
      <c r="F8" s="405" t="str">
        <f>IF('Day 1'!BE13="","",IF(M8&lt;&gt;"",M8,'Day 1'!BE13))</f>
        <v>Daniil Ivanov</v>
      </c>
      <c r="G8" s="320" t="str">
        <f>IF(D8="","",VLOOKUP($F8,Draw!$B$3:$E$42,3,FALSE))</f>
        <v>MFR</v>
      </c>
      <c r="H8" s="320" t="str">
        <f>IF(E8="","",VLOOKUP($F8,Draw!$B$3:$E$42,4,FALSE))</f>
        <v>RUS</v>
      </c>
      <c r="I8" s="588">
        <f>IF(D8="","",VLOOKUP(F8,'Day 1'!BE$12:BF$29,2,FALSE))</f>
        <v>17</v>
      </c>
      <c r="K8" s="404" t="s">
        <v>169</v>
      </c>
      <c r="L8" s="953"/>
      <c r="M8" s="460" t="str">
        <f t="shared" si="0"/>
        <v/>
      </c>
      <c r="N8" s="949"/>
      <c r="O8" s="957">
        <f>Draw!I4</f>
        <v>3</v>
      </c>
      <c r="P8" s="956" t="str">
        <f>Draw!H4</f>
        <v>Dimitry Khomitsevich</v>
      </c>
      <c r="Q8"/>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c r="CT8" s="13"/>
      <c r="CU8" s="13"/>
      <c r="CV8" s="13"/>
    </row>
    <row r="9" spans="1:100" ht="18">
      <c r="B9" s="404" t="s">
        <v>170</v>
      </c>
      <c r="C9" s="404" t="e">
        <f>VLOOKUP(E9,#REF!,3,FALSE)</f>
        <v>#REF!</v>
      </c>
      <c r="D9" s="404">
        <f>IF('Day 1'!BD14="","",IF(L9&lt;&gt;"",L9,'Day 1'!BD14))</f>
        <v>3</v>
      </c>
      <c r="E9" s="460" t="str">
        <f>IF('Day 1'!BE14="","",'Day 1'!BE14)</f>
        <v>Dimitry Khomitsevich</v>
      </c>
      <c r="F9" s="405" t="str">
        <f>IF('Day 1'!BE14="","",IF(M9&lt;&gt;"",M9,'Day 1'!BE14))</f>
        <v>Dimitry Khomitsevich</v>
      </c>
      <c r="G9" s="320" t="str">
        <f>IF(D9="","",VLOOKUP($F9,Draw!$B$3:$E$42,3,FALSE))</f>
        <v>MFR</v>
      </c>
      <c r="H9" s="320" t="str">
        <f>IF(E9="","",VLOOKUP($F9,Draw!$B$3:$E$42,4,FALSE))</f>
        <v>RUS</v>
      </c>
      <c r="I9" s="588">
        <f>IF(D9="","",VLOOKUP(F9,'Day 1'!BE$12:BF$29,2,FALSE))</f>
        <v>18</v>
      </c>
      <c r="K9" s="404" t="s">
        <v>170</v>
      </c>
      <c r="L9" s="953"/>
      <c r="M9" s="460" t="str">
        <f t="shared" si="0"/>
        <v/>
      </c>
      <c r="N9" s="949"/>
      <c r="O9" s="957">
        <f>Draw!I5</f>
        <v>10</v>
      </c>
      <c r="P9" s="956" t="str">
        <f>Draw!H5</f>
        <v>Franz Zorn</v>
      </c>
      <c r="Q9"/>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row>
    <row r="10" spans="1:100" ht="18.75" thickBot="1">
      <c r="B10" s="406" t="s">
        <v>171</v>
      </c>
      <c r="C10" s="406" t="e">
        <f>VLOOKUP(E10,#REF!,3,FALSE)</f>
        <v>#REF!</v>
      </c>
      <c r="D10" s="406">
        <f>IF('Day 1'!BD15="","",IF(L10&lt;&gt;"",L10,'Day 1'!BD15))</f>
        <v>4</v>
      </c>
      <c r="E10" s="461" t="str">
        <f>IF('Day 1'!BE15="","",'Day 1'!BE15)</f>
        <v>Igor Kononov</v>
      </c>
      <c r="F10" s="407" t="str">
        <f>IF('Day 1'!BE15="","",IF(M10&lt;&gt;"",M10,'Day 1'!BE15))</f>
        <v>Igor Kononov</v>
      </c>
      <c r="G10" s="321" t="str">
        <f>IF(D10="","",VLOOKUP($F10,Draw!$B$3:$E$42,3,FALSE))</f>
        <v>MFR</v>
      </c>
      <c r="H10" s="321" t="str">
        <f>IF(E10="","",VLOOKUP($F10,Draw!$B$3:$E$42,4,FALSE))</f>
        <v>RUS</v>
      </c>
      <c r="I10" s="589">
        <f>IF(D10="","",VLOOKUP(F10,'Day 1'!BE$12:BF$29,2,FALSE))</f>
        <v>14</v>
      </c>
      <c r="K10" s="406" t="s">
        <v>171</v>
      </c>
      <c r="L10" s="954"/>
      <c r="M10" s="461" t="str">
        <f t="shared" si="0"/>
        <v/>
      </c>
      <c r="N10" s="949"/>
      <c r="O10" s="957">
        <f>Draw!I6</f>
        <v>6</v>
      </c>
      <c r="P10" s="956" t="str">
        <f>Draw!H6</f>
        <v>Jan Klatovsky</v>
      </c>
      <c r="Q10"/>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c r="CT10" s="13"/>
      <c r="CU10" s="13"/>
      <c r="CV10" s="13"/>
    </row>
    <row r="11" spans="1:100" ht="18">
      <c r="B11" s="403" t="s">
        <v>172</v>
      </c>
      <c r="C11" s="408" t="e">
        <f>VLOOKUP(E11,#REF!,3,FALSE)</f>
        <v>#REF!</v>
      </c>
      <c r="D11" s="408">
        <f>IF('Day 1'!BD16="","",IF(L11&lt;&gt;"",L11,'Day 1'!BD16))</f>
        <v>11</v>
      </c>
      <c r="E11" s="462" t="str">
        <f>IF('Day 1'!BE16="","",'Day 1'!BE16)</f>
        <v>Vitaly Khomitsevich</v>
      </c>
      <c r="F11" s="409" t="str">
        <f>IF('Day 1'!BE16="","",IF(M11&lt;&gt;"",M11,'Day 1'!BE16))</f>
        <v>Vitaly Khomitsevich</v>
      </c>
      <c r="G11" s="389" t="str">
        <f>IF(D11="","",VLOOKUP($F11,Draw!$B$3:$E$42,3,FALSE))</f>
        <v>MFR</v>
      </c>
      <c r="H11" s="389" t="str">
        <f>IF(E11="","",VLOOKUP($F11,Draw!$B$3:$E$42,4,FALSE))</f>
        <v>RUS</v>
      </c>
      <c r="I11" s="590">
        <f>IF(D11="","",VLOOKUP(F11,'Day 1'!BE$12:BF$29,2,FALSE))</f>
        <v>12</v>
      </c>
      <c r="K11" s="403" t="s">
        <v>172</v>
      </c>
      <c r="L11" s="955"/>
      <c r="M11" s="462" t="str">
        <f t="shared" si="0"/>
        <v/>
      </c>
      <c r="N11" s="949"/>
      <c r="O11" s="957">
        <f>Draw!I7</f>
        <v>14</v>
      </c>
      <c r="P11" s="956" t="str">
        <f>Draw!H7</f>
        <v>Antonin Klatovsky</v>
      </c>
      <c r="Q11"/>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c r="CT11" s="13"/>
      <c r="CU11" s="13"/>
      <c r="CV11" s="13"/>
    </row>
    <row r="12" spans="1:100" ht="18">
      <c r="B12" s="404" t="s">
        <v>173</v>
      </c>
      <c r="C12" s="404" t="e">
        <f>VLOOKUP(E12,#REF!,3,FALSE)</f>
        <v>#REF!</v>
      </c>
      <c r="D12" s="404">
        <f>IF('Day 1'!BD17="","",IF(L12&lt;&gt;"",L12,'Day 1'!BD17))</f>
        <v>10</v>
      </c>
      <c r="E12" s="460" t="str">
        <f>IF('Day 1'!BE17="","",'Day 1'!BE17)</f>
        <v>Franz Zorn</v>
      </c>
      <c r="F12" s="405" t="str">
        <f>IF('Day 1'!BE17="","",IF(M12&lt;&gt;"",M12,'Day 1'!BE17))</f>
        <v>Franz Zorn</v>
      </c>
      <c r="G12" s="320" t="str">
        <f>IF(D12="","",VLOOKUP($F12,Draw!$B$3:$E$42,3,FALSE))</f>
        <v>OeAMTC</v>
      </c>
      <c r="H12" s="320" t="str">
        <f>IF(E12="","",VLOOKUP($F12,Draw!$B$3:$E$42,4,FALSE))</f>
        <v>AUS</v>
      </c>
      <c r="I12" s="588">
        <f>IF(D12="","",VLOOKUP(F12,'Day 1'!BE$12:BF$29,2,FALSE))</f>
        <v>11</v>
      </c>
      <c r="K12" s="404" t="s">
        <v>173</v>
      </c>
      <c r="L12" s="953"/>
      <c r="M12" s="460" t="str">
        <f t="shared" si="0"/>
        <v/>
      </c>
      <c r="N12" s="949"/>
      <c r="O12" s="957">
        <f>Draw!I8</f>
        <v>16</v>
      </c>
      <c r="P12" s="956" t="str">
        <f>Draw!H8</f>
        <v>Rene Stellingwerf</v>
      </c>
      <c r="Q12"/>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row>
    <row r="13" spans="1:100" ht="18">
      <c r="B13" s="404" t="s">
        <v>174</v>
      </c>
      <c r="C13" s="404" t="e">
        <f>VLOOKUP(E13,#REF!,3,FALSE)</f>
        <v>#REF!</v>
      </c>
      <c r="D13" s="404">
        <f>IF('Day 1'!BD18="","",IF(L13&lt;&gt;"",L13,'Day 1'!BD18))</f>
        <v>7</v>
      </c>
      <c r="E13" s="460" t="str">
        <f>IF('Day 1'!BE18="","",'Day 1'!BE18)</f>
        <v>Gunter Bauer</v>
      </c>
      <c r="F13" s="405" t="str">
        <f>IF('Day 1'!BE18="","",IF(M13&lt;&gt;"",M13,'Day 1'!BE18))</f>
        <v>Gunter Bauer</v>
      </c>
      <c r="G13" s="320" t="str">
        <f>IF(D13="","",VLOOKUP($F13,Draw!$B$3:$E$42,3,FALSE))</f>
        <v>DMSB</v>
      </c>
      <c r="H13" s="320" t="str">
        <f>IF(E13="","",VLOOKUP($F13,Draw!$B$3:$E$42,4,FALSE))</f>
        <v>GER</v>
      </c>
      <c r="I13" s="588">
        <f>IF(D13="","",VLOOKUP(F13,'Day 1'!BE$12:BF$29,2,FALSE))</f>
        <v>9</v>
      </c>
      <c r="K13" s="404" t="s">
        <v>174</v>
      </c>
      <c r="L13" s="953"/>
      <c r="M13" s="460" t="str">
        <f t="shared" si="0"/>
        <v/>
      </c>
      <c r="N13" s="949"/>
      <c r="O13" s="957">
        <f>Draw!I9</f>
        <v>4</v>
      </c>
      <c r="P13" s="956" t="str">
        <f>Draw!H9</f>
        <v>Igor Kononov</v>
      </c>
      <c r="Q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row>
    <row r="14" spans="1:100" ht="18">
      <c r="B14" s="404" t="s">
        <v>175</v>
      </c>
      <c r="C14" s="404" t="e">
        <f>VLOOKUP(E14,#REF!,3,FALSE)</f>
        <v>#REF!</v>
      </c>
      <c r="D14" s="404">
        <f>IF('Day 1'!BD19="","",IF(L14&lt;&gt;"",L14,'Day 1'!BD19))</f>
        <v>5</v>
      </c>
      <c r="E14" s="460" t="str">
        <f>IF('Day 1'!BE19="","",'Day 1'!BE19)</f>
        <v>Stefan Svensson</v>
      </c>
      <c r="F14" s="405" t="str">
        <f>IF('Day 1'!BE19="","",IF(M14&lt;&gt;"",M14,'Day 1'!BE19))</f>
        <v>Stefan Svensson</v>
      </c>
      <c r="G14" s="320" t="str">
        <f>IF(D14="","",VLOOKUP($F14,Draw!$B$3:$E$42,3,FALSE))</f>
        <v>SVEMO</v>
      </c>
      <c r="H14" s="320" t="str">
        <f>IF(E14="","",VLOOKUP($F14,Draw!$B$3:$E$42,4,FALSE))</f>
        <v>SWE</v>
      </c>
      <c r="I14" s="588">
        <f>IF(D14="","",VLOOKUP(F14,'Day 1'!BE$12:BF$29,2,FALSE))</f>
        <v>8</v>
      </c>
      <c r="K14" s="404" t="s">
        <v>175</v>
      </c>
      <c r="L14" s="953"/>
      <c r="M14" s="460" t="str">
        <f t="shared" si="0"/>
        <v/>
      </c>
      <c r="N14" s="949"/>
      <c r="O14" s="957">
        <f>Draw!I10</f>
        <v>7</v>
      </c>
      <c r="P14" s="956" t="str">
        <f>Draw!H10</f>
        <v>Gunter Bauer</v>
      </c>
      <c r="Q14"/>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row>
    <row r="15" spans="1:100" ht="18">
      <c r="B15" s="404" t="s">
        <v>176</v>
      </c>
      <c r="C15" s="404" t="e">
        <f>VLOOKUP(E15,#REF!,3,FALSE)</f>
        <v>#REF!</v>
      </c>
      <c r="D15" s="404">
        <f>IF('Day 1'!BD20="","",IF(L15&lt;&gt;"",L15,'Day 1'!BD20))</f>
        <v>12</v>
      </c>
      <c r="E15" s="460" t="str">
        <f>IF('Day 1'!BE20="","",'Day 1'!BE20)</f>
        <v>Hans Weber</v>
      </c>
      <c r="F15" s="405" t="str">
        <f>IF('Day 1'!BE20="","",IF(M15&lt;&gt;"",M15,'Day 1'!BE20))</f>
        <v>Hans Weber</v>
      </c>
      <c r="G15" s="320" t="str">
        <f>IF(D15="","",VLOOKUP($F15,Draw!$B$3:$E$42,3,FALSE))</f>
        <v>DMSB</v>
      </c>
      <c r="H15" s="320" t="str">
        <f>IF(E15="","",VLOOKUP($F15,Draw!$B$3:$E$42,4,FALSE))</f>
        <v>GER</v>
      </c>
      <c r="I15" s="588">
        <f>IF(D15="","",VLOOKUP(F15,'Day 1'!BE$12:BF$29,2,FALSE))</f>
        <v>6</v>
      </c>
      <c r="K15" s="404" t="s">
        <v>176</v>
      </c>
      <c r="L15" s="953"/>
      <c r="M15" s="460" t="str">
        <f t="shared" si="0"/>
        <v/>
      </c>
      <c r="N15" s="949"/>
      <c r="O15" s="957">
        <f>Draw!I11</f>
        <v>1</v>
      </c>
      <c r="P15" s="956" t="str">
        <f>Draw!H11</f>
        <v>Daniil Ivanov</v>
      </c>
      <c r="Q15"/>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row>
    <row r="16" spans="1:100" ht="18">
      <c r="B16" s="404" t="s">
        <v>177</v>
      </c>
      <c r="C16" s="404" t="e">
        <f>VLOOKUP(E16,#REF!,3,FALSE)</f>
        <v>#REF!</v>
      </c>
      <c r="D16" s="404">
        <f>IF('Day 1'!BD21="","",IF(L16&lt;&gt;"",L16,'Day 1'!BD21))</f>
        <v>14</v>
      </c>
      <c r="E16" s="460" t="str">
        <f>IF('Day 1'!BE21="","",'Day 1'!BE21)</f>
        <v>Antonin Klatovsky</v>
      </c>
      <c r="F16" s="405" t="str">
        <f>IF('Day 1'!BE21="","",IF(M16&lt;&gt;"",M16,'Day 1'!BE21))</f>
        <v>Antonin Klatovsky</v>
      </c>
      <c r="G16" s="320" t="str">
        <f>IF(D16="","",VLOOKUP($F16,Draw!$B$3:$E$42,3,FALSE))</f>
        <v>ACCR</v>
      </c>
      <c r="H16" s="320" t="str">
        <f>IF(E16="","",VLOOKUP($F16,Draw!$B$3:$E$42,4,FALSE))</f>
        <v>CZR</v>
      </c>
      <c r="I16" s="588">
        <f>IF(D16="","",VLOOKUP(F16,'Day 1'!BE$12:BF$29,2,FALSE))</f>
        <v>5</v>
      </c>
      <c r="K16" s="404" t="s">
        <v>177</v>
      </c>
      <c r="L16" s="953"/>
      <c r="M16" s="460" t="str">
        <f t="shared" si="0"/>
        <v/>
      </c>
      <c r="N16" s="949"/>
      <c r="O16" s="957">
        <f>Draw!I12</f>
        <v>12</v>
      </c>
      <c r="P16" s="956" t="str">
        <f>Draw!H12</f>
        <v>Hans Weber</v>
      </c>
      <c r="Q16"/>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c r="CT16" s="13"/>
      <c r="CU16" s="13"/>
      <c r="CV16" s="13"/>
    </row>
    <row r="17" spans="2:100" ht="18">
      <c r="B17" s="404" t="s">
        <v>178</v>
      </c>
      <c r="C17" s="404" t="e">
        <f>VLOOKUP(E17,#REF!,3,FALSE)</f>
        <v>#REF!</v>
      </c>
      <c r="D17" s="404">
        <f>IF('Day 1'!BD22="","",IF(L17&lt;&gt;"",L17,'Day 1'!BD22))</f>
        <v>19</v>
      </c>
      <c r="E17" s="460" t="str">
        <f>IF('Day 1'!BE22="","",'Day 1'!BE22)</f>
        <v>Daniel Henderson</v>
      </c>
      <c r="F17" s="405" t="str">
        <f>IF('Day 1'!BE22="","",IF(M17&lt;&gt;"",M17,'Day 1'!BE22))</f>
        <v>Daniel Henderson</v>
      </c>
      <c r="G17" s="320" t="str">
        <f>IF(D17="","",VLOOKUP($F17,Draw!$B$3:$E$42,3,FALSE))</f>
        <v>SVEMO</v>
      </c>
      <c r="H17" s="320" t="str">
        <f>IF(E17="","",VLOOKUP($F17,Draw!$B$3:$E$42,4,FALSE))</f>
        <v>SWE</v>
      </c>
      <c r="I17" s="588">
        <f>IF(D17="","",VLOOKUP(F17,'Day 1'!BE$12:BF$29,2,FALSE))</f>
        <v>5</v>
      </c>
      <c r="J17" s="13"/>
      <c r="K17" s="404" t="s">
        <v>178</v>
      </c>
      <c r="L17" s="953"/>
      <c r="M17" s="460" t="str">
        <f t="shared" si="0"/>
        <v/>
      </c>
      <c r="N17" s="949"/>
      <c r="O17" s="957">
        <f>Draw!I13</f>
        <v>15</v>
      </c>
      <c r="P17" s="956" t="str">
        <f>Draw!H13</f>
        <v>Harald Simon</v>
      </c>
      <c r="Q17"/>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c r="CT17" s="13"/>
      <c r="CU17" s="13"/>
      <c r="CV17" s="13"/>
    </row>
    <row r="18" spans="2:100" ht="18">
      <c r="B18" s="404" t="s">
        <v>179</v>
      </c>
      <c r="C18" s="404" t="e">
        <f>VLOOKUP(E18,#REF!,3,FALSE)</f>
        <v>#REF!</v>
      </c>
      <c r="D18" s="404">
        <f>IF('Day 1'!BD23="","",IF(L18&lt;&gt;"",L18,'Day 1'!BD23))</f>
        <v>6</v>
      </c>
      <c r="E18" s="460" t="str">
        <f>IF('Day 1'!BE23="","",'Day 1'!BE23)</f>
        <v>Jan Klatovsky</v>
      </c>
      <c r="F18" s="405" t="str">
        <f>IF('Day 1'!BE23="","",IF(M18&lt;&gt;"",M18,'Day 1'!BE23))</f>
        <v>Jan Klatovsky</v>
      </c>
      <c r="G18" s="320" t="str">
        <f>IF(D18="","",VLOOKUP($F18,Draw!$B$3:$E$42,3,FALSE))</f>
        <v>ACCR</v>
      </c>
      <c r="H18" s="320" t="str">
        <f>IF(E18="","",VLOOKUP($F18,Draw!$B$3:$E$42,4,FALSE))</f>
        <v>CZR</v>
      </c>
      <c r="I18" s="588">
        <f>IF(D18="","",VLOOKUP(F18,'Day 1'!BE$12:BF$29,2,FALSE))</f>
        <v>4</v>
      </c>
      <c r="J18" s="13"/>
      <c r="K18" s="404" t="s">
        <v>179</v>
      </c>
      <c r="L18" s="953"/>
      <c r="M18" s="460" t="str">
        <f t="shared" si="0"/>
        <v/>
      </c>
      <c r="N18" s="949"/>
      <c r="O18" s="957">
        <f>Draw!I14</f>
        <v>11</v>
      </c>
      <c r="P18" s="956" t="str">
        <f>Draw!H14</f>
        <v>Vitaly Khomitsevich</v>
      </c>
      <c r="Q18"/>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c r="CT18" s="13"/>
      <c r="CU18" s="13"/>
      <c r="CV18" s="13"/>
    </row>
    <row r="19" spans="2:100" ht="18">
      <c r="B19" s="404" t="s">
        <v>180</v>
      </c>
      <c r="C19" s="404" t="e">
        <f>VLOOKUP(E19,#REF!,3,FALSE)</f>
        <v>#REF!</v>
      </c>
      <c r="D19" s="404">
        <f>IF('Day 1'!BD24="","",IF(L19&lt;&gt;"",L19,'Day 1'!BD24))</f>
        <v>15</v>
      </c>
      <c r="E19" s="460" t="str">
        <f>IF('Day 1'!BE24="","",'Day 1'!BE24)</f>
        <v>Harald Simon</v>
      </c>
      <c r="F19" s="405" t="str">
        <f>IF('Day 1'!BE24="","",IF(M19&lt;&gt;"",M19,'Day 1'!BE24))</f>
        <v>Harald Simon</v>
      </c>
      <c r="G19" s="320" t="str">
        <f>IF(D19="","",VLOOKUP($F19,Draw!$B$3:$E$42,3,FALSE))</f>
        <v>OeAMTC</v>
      </c>
      <c r="H19" s="320" t="str">
        <f>IF(E19="","",VLOOKUP($F19,Draw!$B$3:$E$42,4,FALSE))</f>
        <v>AUS</v>
      </c>
      <c r="I19" s="588">
        <f>IF(D19="","",VLOOKUP(F19,'Day 1'!BE$12:BF$29,2,FALSE))</f>
        <v>4</v>
      </c>
      <c r="J19" s="13"/>
      <c r="K19" s="404" t="s">
        <v>180</v>
      </c>
      <c r="L19" s="953"/>
      <c r="M19" s="460" t="str">
        <f t="shared" si="0"/>
        <v/>
      </c>
      <c r="N19" s="949"/>
      <c r="O19" s="957">
        <f>Draw!I15</f>
        <v>19</v>
      </c>
      <c r="P19" s="956" t="str">
        <f>Draw!H15</f>
        <v>Daniel Henderson</v>
      </c>
      <c r="Q19"/>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c r="CT19" s="13"/>
      <c r="CU19" s="13"/>
      <c r="CV19" s="13"/>
    </row>
    <row r="20" spans="2:100" ht="18">
      <c r="B20" s="404" t="s">
        <v>181</v>
      </c>
      <c r="C20" s="404" t="e">
        <f>VLOOKUP(E20,#REF!,3,FALSE)</f>
        <v>#REF!</v>
      </c>
      <c r="D20" s="404">
        <f>IF('Day 1'!BD25="","",IF(L20&lt;&gt;"",L20,'Day 1'!BD25))</f>
        <v>9</v>
      </c>
      <c r="E20" s="460" t="str">
        <f>IF('Day 1'!BE25="","",'Day 1'!BE25)</f>
        <v>Per-Anders Lindstrom</v>
      </c>
      <c r="F20" s="405" t="str">
        <f>IF('Day 1'!BE25="","",IF(M20&lt;&gt;"",M20,'Day 1'!BE25))</f>
        <v>Per-Anders Lindstrom</v>
      </c>
      <c r="G20" s="320" t="str">
        <f>IF(D20="","",VLOOKUP($F20,Draw!$B$3:$E$42,3,FALSE))</f>
        <v>SVEMO</v>
      </c>
      <c r="H20" s="320" t="str">
        <f>IF(E20="","",VLOOKUP($F20,Draw!$B$3:$E$42,4,FALSE))</f>
        <v>SWE</v>
      </c>
      <c r="I20" s="588">
        <f>IF(D20="","",VLOOKUP(F20,'Day 1'!BE$12:BF$29,2,FALSE))</f>
        <v>2</v>
      </c>
      <c r="J20" s="13"/>
      <c r="K20" s="404" t="s">
        <v>181</v>
      </c>
      <c r="L20" s="953"/>
      <c r="M20" s="460" t="str">
        <f t="shared" si="0"/>
        <v/>
      </c>
      <c r="N20" s="949"/>
      <c r="O20" s="957">
        <f>Draw!I16</f>
        <v>8</v>
      </c>
      <c r="P20" s="956" t="str">
        <f>Draw!H16</f>
        <v>Stefan Pletschacher</v>
      </c>
      <c r="Q20"/>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c r="CT20" s="13"/>
      <c r="CU20" s="13"/>
      <c r="CV20" s="13"/>
    </row>
    <row r="21" spans="2:100" ht="18">
      <c r="B21" s="404" t="s">
        <v>182</v>
      </c>
      <c r="C21" s="404" t="e">
        <f>VLOOKUP(E21,#REF!,3,FALSE)</f>
        <v>#REF!</v>
      </c>
      <c r="D21" s="404">
        <f>IF('Day 1'!BD26="","",IF(L21&lt;&gt;"",L21,'Day 1'!BD26))</f>
        <v>8</v>
      </c>
      <c r="E21" s="460" t="str">
        <f>IF('Day 1'!BE26="","",'Day 1'!BE26)</f>
        <v>Stefan Pletschacher</v>
      </c>
      <c r="F21" s="405" t="str">
        <f>IF('Day 1'!BE26="","",IF(M21&lt;&gt;"",M21,'Day 1'!BE26))</f>
        <v>Stefan Pletschacher</v>
      </c>
      <c r="G21" s="320" t="str">
        <f>IF(D21="","",VLOOKUP($F21,Draw!$B$3:$E$42,3,FALSE))</f>
        <v>DMSB</v>
      </c>
      <c r="H21" s="320" t="str">
        <f>IF(E21="","",VLOOKUP($F21,Draw!$B$3:$E$42,4,FALSE))</f>
        <v>GER</v>
      </c>
      <c r="I21" s="588">
        <f>IF(D21="","",VLOOKUP(F21,'Day 1'!BE$12:BF$29,2,FALSE))</f>
        <v>2</v>
      </c>
      <c r="J21" s="13"/>
      <c r="K21" s="404" t="s">
        <v>182</v>
      </c>
      <c r="L21" s="953"/>
      <c r="M21" s="460" t="str">
        <f t="shared" si="0"/>
        <v/>
      </c>
      <c r="N21" s="949"/>
      <c r="O21" s="957">
        <f>Draw!I17</f>
        <v>2</v>
      </c>
      <c r="P21" s="956" t="str">
        <f>Draw!H17</f>
        <v>Dimitry Koltakov</v>
      </c>
      <c r="Q21"/>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c r="CT21" s="13"/>
      <c r="CU21" s="13"/>
      <c r="CV21" s="13"/>
    </row>
    <row r="22" spans="2:100" ht="18">
      <c r="B22" s="404" t="s">
        <v>183</v>
      </c>
      <c r="C22" s="404" t="e">
        <f>VLOOKUP(E22,#REF!,3,FALSE)</f>
        <v>#REF!</v>
      </c>
      <c r="D22" s="404">
        <f>IF('Day 1'!BD27="","",IF(L22&lt;&gt;"",L22,'Day 1'!BD27))</f>
        <v>17</v>
      </c>
      <c r="E22" s="460" t="str">
        <f>IF('Day 1'!BE27="","",'Day 1'!BE27)</f>
        <v>Simon Reitsma</v>
      </c>
      <c r="F22" s="405" t="str">
        <f>IF('Day 1'!BE27="","",IF(M22&lt;&gt;"",M22,'Day 1'!BE27))</f>
        <v>Simon Reitsma</v>
      </c>
      <c r="G22" s="320" t="str">
        <f>IF(D22="","",VLOOKUP($F22,Draw!$B$3:$E$42,3,FALSE))</f>
        <v>KMNV</v>
      </c>
      <c r="H22" s="320" t="str">
        <f>IF(E22="","",VLOOKUP($F22,Draw!$B$3:$E$42,4,FALSE))</f>
        <v>NET</v>
      </c>
      <c r="I22" s="588">
        <f>IF(D22="","",VLOOKUP(F22,'Day 1'!BE$12:BF$29,2,FALSE))</f>
        <v>0</v>
      </c>
      <c r="J22" s="13"/>
      <c r="K22" s="404" t="s">
        <v>183</v>
      </c>
      <c r="L22" s="953"/>
      <c r="M22" s="460" t="str">
        <f t="shared" si="0"/>
        <v/>
      </c>
      <c r="N22" s="949"/>
      <c r="O22" s="957">
        <f>Draw!I18</f>
        <v>5</v>
      </c>
      <c r="P22" s="956" t="str">
        <f>Draw!H18</f>
        <v>Stefan Svensson</v>
      </c>
      <c r="Q22"/>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c r="CT22" s="13"/>
      <c r="CU22" s="13"/>
      <c r="CV22" s="13"/>
    </row>
    <row r="23" spans="2:100" ht="18">
      <c r="B23" s="404" t="s">
        <v>184</v>
      </c>
      <c r="C23" s="404" t="e">
        <f>VLOOKUP(E23,#REF!,3,FALSE)</f>
        <v>#REF!</v>
      </c>
      <c r="D23" s="404">
        <f>IF('Day 1'!BD28="","",IF(L23&lt;&gt;"",L23,'Day 1'!BD28))</f>
        <v>16</v>
      </c>
      <c r="E23" s="460" t="str">
        <f>IF('Day 1'!BE28="","",'Day 1'!BE28)</f>
        <v>Rene Stellingwerf</v>
      </c>
      <c r="F23" s="405" t="str">
        <f>IF('Day 1'!BE28="","",IF(M23&lt;&gt;"",M23,'Day 1'!BE28))</f>
        <v>Rene Stellingwerf</v>
      </c>
      <c r="G23" s="320" t="str">
        <f>IF(D23="","",VLOOKUP($F23,Draw!$B$3:$E$42,3,FALSE))</f>
        <v>KMNV</v>
      </c>
      <c r="H23" s="320" t="str">
        <f>IF(E23="","",VLOOKUP($F23,Draw!$B$3:$E$42,4,FALSE))</f>
        <v>NET</v>
      </c>
      <c r="I23" s="588">
        <f>IF(D23="","",VLOOKUP(F23,'Day 1'!BE$12:BF$29,2,FALSE))</f>
        <v>0</v>
      </c>
      <c r="J23" s="13"/>
      <c r="K23" s="404" t="s">
        <v>184</v>
      </c>
      <c r="L23" s="953"/>
      <c r="M23" s="460" t="str">
        <f>IF(L23="","",VLOOKUP(L23,$O$7:$P$24,2,FALSE))</f>
        <v/>
      </c>
      <c r="N23" s="949"/>
      <c r="O23" s="957">
        <f>Draw!I19</f>
        <v>17</v>
      </c>
      <c r="P23" s="956" t="str">
        <f>Draw!H19</f>
        <v>Simon Reitsma</v>
      </c>
      <c r="Q2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c r="CT23" s="13"/>
      <c r="CU23" s="13"/>
      <c r="CV23" s="13"/>
    </row>
    <row r="24" spans="2:100" ht="18.75" thickBot="1">
      <c r="B24" s="406" t="s">
        <v>185</v>
      </c>
      <c r="C24" s="406" t="e">
        <f>VLOOKUP(E24,#REF!,3,FALSE)</f>
        <v>#REF!</v>
      </c>
      <c r="D24" s="406">
        <f>IF('Day 1'!BD29="","",IF(L24&lt;&gt;"",L24,'Day 1'!BD29))</f>
        <v>18</v>
      </c>
      <c r="E24" s="461" t="str">
        <f>IF('Day 1'!BE29="","",'Day 1'!BE29)</f>
        <v>Max Niedermaier</v>
      </c>
      <c r="F24" s="407" t="str">
        <f>IF('Day 1'!BE29="","",IF(M24&lt;&gt;"",M24,'Day 1'!BE29))</f>
        <v>Max Niedermaier</v>
      </c>
      <c r="G24" s="321" t="str">
        <f>IF(D24="","",VLOOKUP($F24,Draw!$B$3:$E$42,3,FALSE))</f>
        <v>DMSB</v>
      </c>
      <c r="H24" s="321" t="str">
        <f>IF(E24="","",VLOOKUP($F24,Draw!$B$3:$E$42,4,FALSE))</f>
        <v>GER</v>
      </c>
      <c r="I24" s="589">
        <f>IF(D24="","",VLOOKUP(F24,'Day 1'!BE$12:BF$29,2,FALSE))</f>
        <v>0</v>
      </c>
      <c r="J24" s="13"/>
      <c r="K24" s="406" t="s">
        <v>185</v>
      </c>
      <c r="L24" s="954"/>
      <c r="M24" s="461" t="str">
        <f>IF(L24="","",VLOOKUP(L24,$O$7:$P$24,2,FALSE))</f>
        <v/>
      </c>
      <c r="N24" s="949"/>
      <c r="O24" s="957">
        <f>Draw!I20</f>
        <v>18</v>
      </c>
      <c r="P24" s="956" t="str">
        <f>Draw!H20</f>
        <v>Max Niedermaier</v>
      </c>
      <c r="Q24"/>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c r="CT24" s="13"/>
      <c r="CU24" s="13"/>
      <c r="CV24" s="13"/>
    </row>
    <row r="25" spans="2:100" ht="4.9000000000000004" customHeight="1">
      <c r="H25" s="290"/>
      <c r="I25" s="316"/>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c r="CT25" s="13"/>
      <c r="CU25" s="13"/>
      <c r="CV25" s="13"/>
    </row>
    <row r="26" spans="2:100" ht="15" hidden="1" customHeight="1">
      <c r="B26" s="13"/>
      <c r="D26" s="548"/>
      <c r="H26" s="290"/>
      <c r="I26" s="316"/>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c r="CT26" s="13"/>
      <c r="CU26" s="13"/>
      <c r="CV26" s="13"/>
    </row>
    <row r="27" spans="2:100">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c r="CT27" s="13"/>
      <c r="CU27" s="13"/>
      <c r="CV27" s="13"/>
    </row>
    <row r="28" spans="2:100">
      <c r="B28" s="1289" t="s">
        <v>381</v>
      </c>
      <c r="C28" s="1289"/>
      <c r="D28" s="1289"/>
      <c r="E28" s="1289"/>
      <c r="F28" s="1289"/>
      <c r="G28" s="1023" t="s">
        <v>382</v>
      </c>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c r="CT28" s="13"/>
      <c r="CU28" s="13"/>
      <c r="CV28" s="13"/>
    </row>
    <row r="29" spans="2:100" ht="15" customHeight="1">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c r="CT29" s="13"/>
      <c r="CU29" s="13"/>
      <c r="CV29" s="13"/>
    </row>
    <row r="30" spans="2:100">
      <c r="B30" s="289" t="s">
        <v>76</v>
      </c>
      <c r="G30" s="1294" t="s">
        <v>310</v>
      </c>
      <c r="H30" s="1294"/>
      <c r="I30" s="1294"/>
      <c r="J30" s="13"/>
      <c r="K30" s="13"/>
      <c r="L30" s="13"/>
      <c r="M30" s="672" t="s">
        <v>326</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c r="CT30" s="13"/>
      <c r="CU30" s="13"/>
      <c r="CV30" s="13"/>
    </row>
    <row r="31" spans="2:100">
      <c r="B31" s="1291" t="str">
        <f>Draw!T10</f>
        <v>Mick Posselwhite: ACU</v>
      </c>
      <c r="C31" s="1291"/>
      <c r="D31" s="1291"/>
      <c r="E31" s="1291"/>
      <c r="F31" s="1291"/>
      <c r="G31" s="1291" t="str">
        <f>Draw!T12</f>
        <v>Bert Eijbergen: KNMV</v>
      </c>
      <c r="H31" s="1291"/>
      <c r="I31" s="1291"/>
      <c r="J31" s="13"/>
      <c r="K31" s="13"/>
      <c r="L31" s="13"/>
      <c r="M31" s="672" t="s">
        <v>327</v>
      </c>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c r="CT31" s="13"/>
      <c r="CU31" s="13"/>
      <c r="CV31" s="13"/>
    </row>
    <row r="32" spans="2:100">
      <c r="B32" s="463"/>
      <c r="C32" s="463"/>
      <c r="D32" s="463"/>
      <c r="E32" s="463"/>
      <c r="F32" s="463"/>
      <c r="G32" s="463"/>
      <c r="H32" s="463"/>
      <c r="I32" s="464"/>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c r="CT32" s="13"/>
      <c r="CU32" s="13"/>
      <c r="CV32" s="13"/>
    </row>
    <row r="33" spans="1:100">
      <c r="B33" s="463"/>
      <c r="C33" s="463"/>
      <c r="D33" s="463"/>
      <c r="E33" s="463"/>
      <c r="F33" s="463"/>
      <c r="G33" s="463"/>
      <c r="H33" s="463"/>
      <c r="I33" s="464"/>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c r="CT33" s="13"/>
      <c r="CU33" s="13"/>
      <c r="CV33" s="13"/>
    </row>
    <row r="34" spans="1:100">
      <c r="B34" s="465"/>
      <c r="C34" s="465"/>
      <c r="D34" s="465"/>
      <c r="E34" s="466"/>
      <c r="F34" s="463"/>
      <c r="G34" s="465"/>
      <c r="H34" s="465"/>
      <c r="I34" s="465"/>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c r="CT34" s="13"/>
      <c r="CU34" s="13"/>
      <c r="CV34" s="13"/>
    </row>
    <row r="35" spans="1:100">
      <c r="H35" s="290"/>
      <c r="I35" s="316"/>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c r="CT35" s="13"/>
      <c r="CU35" s="13"/>
      <c r="CV35" s="13"/>
    </row>
    <row r="36" spans="1:100">
      <c r="H36" s="290"/>
      <c r="I36" s="316"/>
      <c r="J36" s="13"/>
    </row>
    <row r="37" spans="1:100" ht="18">
      <c r="A37" s="1288" t="s">
        <v>128</v>
      </c>
      <c r="B37" s="1288"/>
      <c r="C37" s="1288"/>
      <c r="D37" s="1288"/>
      <c r="E37" s="1288"/>
      <c r="F37" s="1288"/>
      <c r="G37" s="1288"/>
      <c r="H37" s="1288"/>
      <c r="I37" s="1288"/>
      <c r="J37" s="1288"/>
      <c r="K37" s="946"/>
      <c r="L37" s="946"/>
    </row>
    <row r="38" spans="1:100" ht="13.15" customHeight="1">
      <c r="A38" s="1286" t="s">
        <v>165</v>
      </c>
      <c r="B38" s="1286"/>
      <c r="C38" s="1286"/>
      <c r="D38" s="1286"/>
      <c r="E38" s="1286"/>
      <c r="F38" s="1286"/>
      <c r="G38" s="1286"/>
      <c r="H38" s="1286"/>
      <c r="I38" s="1286"/>
      <c r="J38" s="13"/>
      <c r="K38" s="946"/>
      <c r="L38" s="946"/>
    </row>
    <row r="39" spans="1:100">
      <c r="K39" s="946"/>
      <c r="L39" s="946"/>
    </row>
    <row r="40" spans="1:100" ht="13.15" customHeight="1">
      <c r="A40" s="1240" t="s">
        <v>309</v>
      </c>
      <c r="B40" s="1240"/>
      <c r="C40" s="1240"/>
      <c r="D40" s="1240"/>
      <c r="E40" s="1240"/>
      <c r="F40" s="1240"/>
      <c r="G40" s="1240"/>
      <c r="H40" s="1240"/>
      <c r="I40" s="1240"/>
      <c r="J40" s="1240"/>
      <c r="K40" s="924"/>
      <c r="L40" s="924"/>
    </row>
    <row r="41" spans="1:100">
      <c r="A41" s="1240"/>
      <c r="B41" s="1240"/>
      <c r="C41" s="1240"/>
      <c r="D41" s="1240"/>
      <c r="E41" s="1240"/>
      <c r="F41" s="1240"/>
      <c r="G41" s="1240"/>
      <c r="H41" s="1240"/>
      <c r="I41" s="1240"/>
      <c r="J41" s="1240"/>
    </row>
    <row r="42" spans="1:100" ht="13.15" customHeight="1">
      <c r="A42" s="1240"/>
      <c r="B42" s="1240"/>
      <c r="C42" s="1240"/>
      <c r="D42" s="1240"/>
      <c r="E42" s="1240"/>
      <c r="F42" s="1240"/>
      <c r="G42" s="1240"/>
      <c r="H42" s="1240"/>
      <c r="I42" s="1240"/>
      <c r="J42" s="1240"/>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row>
    <row r="43" spans="1:100" ht="13.15" customHeight="1">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row>
  </sheetData>
  <sheetProtection password="E041" sheet="1" objects="1" scenarios="1" formatCells="0" formatColumns="0" formatRows="0"/>
  <mergeCells count="14">
    <mergeCell ref="A40:J42"/>
    <mergeCell ref="B28:F28"/>
    <mergeCell ref="A1:J1"/>
    <mergeCell ref="M1:P1"/>
    <mergeCell ref="B31:F31"/>
    <mergeCell ref="G31:I31"/>
    <mergeCell ref="B3:I3"/>
    <mergeCell ref="B4:I4"/>
    <mergeCell ref="G30:I30"/>
    <mergeCell ref="A2:J2"/>
    <mergeCell ref="O6:P6"/>
    <mergeCell ref="K4:M5"/>
    <mergeCell ref="A37:J37"/>
    <mergeCell ref="A38:I38"/>
  </mergeCells>
  <phoneticPr fontId="0" type="noConversion"/>
  <printOptions horizontalCentered="1"/>
  <pageMargins left="0.6692913385826772" right="0.55118110236220474" top="1.76" bottom="0.51181102362204722" header="0.34" footer="0.19685039370078741"/>
  <pageSetup paperSize="9" scale="86" orientation="portrait" r:id="rId1"/>
  <headerFooter alignWithMargins="0">
    <oddHeader>&amp;L&amp;G&amp;R&amp;G</oddHeader>
    <oddFooter xml:space="preserve">&amp;L&amp;"Arial,Italic"&amp;8Compiled  Using KanDysoft Spreadsheet
www.kandysoft.com&amp;R©All Rights Reserved  FIM
</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DN76"/>
  <sheetViews>
    <sheetView showGridLines="0" zoomScale="90" zoomScaleNormal="90" workbookViewId="0">
      <pane xSplit="17" ySplit="20" topLeftCell="BD21" activePane="bottomRight" state="frozen"/>
      <selection activeCell="D5" sqref="D5:E5"/>
      <selection pane="topRight" activeCell="D5" sqref="D5:E5"/>
      <selection pane="bottomLeft" activeCell="D5" sqref="D5:E5"/>
      <selection pane="bottomRight" activeCell="BH3" sqref="BH3"/>
    </sheetView>
  </sheetViews>
  <sheetFormatPr defaultColWidth="8.85546875" defaultRowHeight="12.75"/>
  <cols>
    <col min="1" max="1" width="3.7109375" style="133" customWidth="1"/>
    <col min="2" max="2" width="3.7109375" style="133" hidden="1" customWidth="1"/>
    <col min="3" max="3" width="4.42578125" style="176" customWidth="1"/>
    <col min="4" max="4" width="21.5703125" style="13" customWidth="1"/>
    <col min="5" max="5" width="6.85546875" style="58" customWidth="1"/>
    <col min="6" max="15" width="3.7109375" style="16" customWidth="1"/>
    <col min="16" max="17" width="3.7109375" style="16" hidden="1" customWidth="1"/>
    <col min="18" max="18" width="0.85546875" style="13" hidden="1" customWidth="1"/>
    <col min="19" max="27" width="2.7109375" style="985" hidden="1" customWidth="1"/>
    <col min="28" max="28" width="3.7109375" style="16" hidden="1" customWidth="1"/>
    <col min="29" max="29" width="5.5703125" style="717" hidden="1" customWidth="1"/>
    <col min="30" max="30" width="7.5703125" style="177" hidden="1" customWidth="1"/>
    <col min="31" max="31" width="8.28515625" style="177" hidden="1" customWidth="1"/>
    <col min="32" max="32" width="17.7109375" style="177" hidden="1" customWidth="1"/>
    <col min="33" max="34" width="3.7109375" style="16" hidden="1" customWidth="1"/>
    <col min="35" max="36" width="3.28515625" style="16" hidden="1" customWidth="1"/>
    <col min="37" max="44" width="3.7109375" style="16" hidden="1" customWidth="1"/>
    <col min="45" max="45" width="4.140625" style="58" hidden="1" customWidth="1"/>
    <col min="46" max="47" width="3" style="398" hidden="1" customWidth="1"/>
    <col min="48" max="48" width="19.7109375" style="13" customWidth="1"/>
    <col min="49" max="49" width="5" style="16" customWidth="1"/>
    <col min="50" max="50" width="19.7109375" style="13" customWidth="1"/>
    <col min="51" max="51" width="3.42578125" style="16" customWidth="1"/>
    <col min="52" max="52" width="19.7109375" style="13" customWidth="1"/>
    <col min="53" max="53" width="3.42578125" style="16" customWidth="1"/>
    <col min="54" max="54" width="19.7109375" style="13" customWidth="1"/>
    <col min="55" max="55" width="3.42578125" style="16" customWidth="1"/>
    <col min="56" max="56" width="19.7109375" style="13" customWidth="1"/>
    <col min="57" max="57" width="3.42578125" style="16" customWidth="1"/>
    <col min="58" max="58" width="19.7109375" style="13" customWidth="1"/>
    <col min="59" max="59" width="3.42578125" style="16" customWidth="1"/>
    <col min="60" max="60" width="19.7109375" style="13" customWidth="1"/>
    <col min="61" max="61" width="3.42578125" style="16" customWidth="1"/>
    <col min="62" max="62" width="19.7109375" style="13" customWidth="1"/>
    <col min="63" max="63" width="3.42578125" style="16" customWidth="1"/>
    <col min="64" max="64" width="19.7109375" style="13" customWidth="1"/>
    <col min="65" max="65" width="3.42578125" style="16" customWidth="1"/>
    <col min="66" max="66" width="19.7109375" style="13" customWidth="1"/>
    <col min="67" max="67" width="3.42578125" style="16" customWidth="1"/>
    <col min="68" max="68" width="19.7109375" style="16" hidden="1" customWidth="1"/>
    <col min="69" max="69" width="3.42578125" style="16" hidden="1" customWidth="1"/>
    <col min="70" max="70" width="19.7109375" style="16" hidden="1" customWidth="1"/>
    <col min="71" max="71" width="3.42578125" style="16" hidden="1" customWidth="1"/>
    <col min="72" max="72" width="1.7109375" style="13" hidden="1" customWidth="1"/>
    <col min="73" max="84" width="2.7109375" style="834" hidden="1" customWidth="1"/>
    <col min="85" max="87" width="3.28515625" customWidth="1"/>
    <col min="88" max="88" width="0.7109375" customWidth="1"/>
    <col min="89" max="92" width="3.7109375" customWidth="1"/>
    <col min="93" max="93" width="0.7109375" customWidth="1"/>
    <col min="94" max="97" width="3.7109375" customWidth="1"/>
    <col min="98" max="98" width="0.7109375" customWidth="1"/>
    <col min="99" max="102" width="3.7109375" customWidth="1"/>
    <col min="103" max="103" width="0.7109375" customWidth="1"/>
    <col min="104" max="107" width="3.7109375" customWidth="1"/>
    <col min="108" max="108" width="0.7109375" customWidth="1"/>
    <col min="109" max="111" width="3.7109375" customWidth="1"/>
    <col min="112" max="112" width="3.42578125" customWidth="1"/>
    <col min="113" max="113" width="0.7109375" customWidth="1"/>
    <col min="114" max="116" width="3.7109375" customWidth="1"/>
    <col min="117" max="117" width="3.42578125" customWidth="1"/>
    <col min="119" max="120" width="8.85546875" style="290"/>
    <col min="121" max="121" width="10.140625" style="290" customWidth="1"/>
    <col min="122" max="16384" width="8.85546875" style="290"/>
  </cols>
  <sheetData>
    <row r="1" spans="1:84" ht="16.149999999999999" customHeight="1" thickTop="1">
      <c r="A1" s="1324" t="s">
        <v>23</v>
      </c>
      <c r="B1" s="399"/>
      <c r="C1" s="134"/>
      <c r="D1" s="135"/>
      <c r="E1" s="136"/>
      <c r="F1" s="1326" t="str">
        <f>AV2</f>
        <v>Krasnogorsk 1</v>
      </c>
      <c r="G1" s="1322" t="str">
        <f>AX2</f>
        <v>Krasnogorsk 2</v>
      </c>
      <c r="H1" s="1326" t="str">
        <f>AZ2</f>
        <v>Togliatti 1</v>
      </c>
      <c r="I1" s="1322" t="str">
        <f>BB2</f>
        <v>Togliatti 2</v>
      </c>
      <c r="J1" s="1326" t="str">
        <f>BD2</f>
        <v>Almaty 1</v>
      </c>
      <c r="K1" s="1322" t="str">
        <f>BF2</f>
        <v>Almaty 2</v>
      </c>
      <c r="L1" s="1326" t="str">
        <f>BH2</f>
        <v>Assen 1</v>
      </c>
      <c r="M1" s="1322" t="str">
        <f>BJ2</f>
        <v>Assen 2</v>
      </c>
      <c r="N1" s="1326" t="str">
        <f>BL2</f>
        <v>Inzell 1</v>
      </c>
      <c r="O1" s="1322" t="str">
        <f>BN2</f>
        <v>Inzell 2</v>
      </c>
      <c r="P1" s="1326" t="str">
        <f>BP2</f>
        <v>Round 6 1</v>
      </c>
      <c r="Q1" s="1322" t="str">
        <f>BR2</f>
        <v>Round 6 2</v>
      </c>
      <c r="R1" s="296"/>
      <c r="S1" s="982"/>
      <c r="T1" s="982"/>
      <c r="U1" s="982"/>
      <c r="V1" s="982"/>
      <c r="W1" s="982"/>
      <c r="X1" s="982"/>
      <c r="Y1" s="982"/>
      <c r="Z1" s="982"/>
      <c r="AA1" s="982"/>
      <c r="AB1" s="150"/>
      <c r="AC1" s="976"/>
      <c r="AD1" s="151"/>
      <c r="AE1" s="151"/>
      <c r="AF1" s="152"/>
      <c r="AG1" s="1330" t="str">
        <f>AV2</f>
        <v>Krasnogorsk 1</v>
      </c>
      <c r="AH1" s="1328" t="str">
        <f>AX2</f>
        <v>Krasnogorsk 2</v>
      </c>
      <c r="AI1" s="1328" t="str">
        <f>AZ2</f>
        <v>Togliatti 1</v>
      </c>
      <c r="AJ1" s="1328" t="str">
        <f>BB2</f>
        <v>Togliatti 2</v>
      </c>
      <c r="AK1" s="1328" t="str">
        <f>BD2</f>
        <v>Almaty 1</v>
      </c>
      <c r="AL1" s="1328" t="str">
        <f>BF2</f>
        <v>Almaty 2</v>
      </c>
      <c r="AM1" s="153"/>
      <c r="AN1" s="1328" t="str">
        <f>BJ2</f>
        <v>Assen 2</v>
      </c>
      <c r="AO1" s="153"/>
      <c r="AP1" s="153"/>
      <c r="AQ1" s="153"/>
      <c r="AR1" s="1332" t="str">
        <f>BR2</f>
        <v>Round 6 2</v>
      </c>
      <c r="AS1" s="472"/>
      <c r="AT1" s="396"/>
      <c r="AU1" s="396"/>
      <c r="AV1" s="1312" t="s">
        <v>344</v>
      </c>
      <c r="AW1" s="1313"/>
      <c r="AX1" s="1312" t="s">
        <v>345</v>
      </c>
      <c r="AY1" s="1313"/>
      <c r="AZ1" s="1312" t="s">
        <v>346</v>
      </c>
      <c r="BA1" s="1313"/>
      <c r="BB1" s="1312" t="s">
        <v>347</v>
      </c>
      <c r="BC1" s="1313"/>
      <c r="BD1" s="1312" t="s">
        <v>348</v>
      </c>
      <c r="BE1" s="1313"/>
      <c r="BF1" s="1312" t="s">
        <v>349</v>
      </c>
      <c r="BG1" s="1313"/>
      <c r="BH1" s="1312" t="s">
        <v>350</v>
      </c>
      <c r="BI1" s="1313"/>
      <c r="BJ1" s="1312" t="s">
        <v>351</v>
      </c>
      <c r="BK1" s="1313"/>
      <c r="BL1" s="1312" t="s">
        <v>352</v>
      </c>
      <c r="BM1" s="1313"/>
      <c r="BN1" s="1312" t="s">
        <v>353</v>
      </c>
      <c r="BO1" s="1313"/>
      <c r="BP1" s="1312" t="s">
        <v>217</v>
      </c>
      <c r="BQ1" s="1313"/>
      <c r="BR1" s="1312" t="s">
        <v>218</v>
      </c>
      <c r="BS1" s="1313"/>
      <c r="BU1" s="833"/>
      <c r="BV1" s="833"/>
      <c r="BW1" s="833"/>
      <c r="BX1" s="833"/>
      <c r="BY1" s="833"/>
      <c r="BZ1" s="833"/>
      <c r="CA1" s="833"/>
      <c r="CB1" s="833"/>
      <c r="CC1" s="833"/>
      <c r="CD1" s="833"/>
      <c r="CE1" s="833"/>
      <c r="CF1" s="833"/>
    </row>
    <row r="2" spans="1:84" ht="74.45" customHeight="1" thickBot="1">
      <c r="A2" s="1325"/>
      <c r="B2" s="402"/>
      <c r="C2" s="291" t="s">
        <v>24</v>
      </c>
      <c r="D2" s="140"/>
      <c r="E2" s="141" t="s">
        <v>20</v>
      </c>
      <c r="F2" s="1327"/>
      <c r="G2" s="1323"/>
      <c r="H2" s="1327"/>
      <c r="I2" s="1323"/>
      <c r="J2" s="1327"/>
      <c r="K2" s="1323"/>
      <c r="L2" s="1327"/>
      <c r="M2" s="1323"/>
      <c r="N2" s="1327"/>
      <c r="O2" s="1323"/>
      <c r="P2" s="1327"/>
      <c r="Q2" s="1323"/>
      <c r="R2" s="296"/>
      <c r="S2" s="983" t="str">
        <f>F1</f>
        <v>Krasnogorsk 1</v>
      </c>
      <c r="T2" s="983" t="str">
        <f t="shared" ref="T2:Z2" si="0">G1</f>
        <v>Krasnogorsk 2</v>
      </c>
      <c r="U2" s="983" t="str">
        <f t="shared" si="0"/>
        <v>Togliatti 1</v>
      </c>
      <c r="V2" s="983" t="str">
        <f t="shared" si="0"/>
        <v>Togliatti 2</v>
      </c>
      <c r="W2" s="983" t="str">
        <f t="shared" si="0"/>
        <v>Almaty 1</v>
      </c>
      <c r="X2" s="983" t="str">
        <f t="shared" si="0"/>
        <v>Almaty 2</v>
      </c>
      <c r="Y2" s="983" t="str">
        <f t="shared" si="0"/>
        <v>Assen 1</v>
      </c>
      <c r="Z2" s="983" t="str">
        <f t="shared" si="0"/>
        <v>Assen 2</v>
      </c>
      <c r="AA2" s="983"/>
      <c r="AB2" s="154"/>
      <c r="AC2" s="977" t="s">
        <v>25</v>
      </c>
      <c r="AD2" s="155"/>
      <c r="AE2" s="155"/>
      <c r="AF2" s="156"/>
      <c r="AG2" s="1331"/>
      <c r="AH2" s="1329"/>
      <c r="AI2" s="1329"/>
      <c r="AJ2" s="1329"/>
      <c r="AK2" s="1329"/>
      <c r="AL2" s="1329"/>
      <c r="AM2" s="157" t="str">
        <f>BH2</f>
        <v>Assen 1</v>
      </c>
      <c r="AN2" s="1329"/>
      <c r="AO2" s="157" t="str">
        <f>BL2</f>
        <v>Inzell 1</v>
      </c>
      <c r="AP2" s="157" t="str">
        <f>BN2</f>
        <v>Inzell 2</v>
      </c>
      <c r="AQ2" s="157" t="str">
        <f>BP2</f>
        <v>Round 6 1</v>
      </c>
      <c r="AR2" s="1333"/>
      <c r="AS2" s="473" t="s">
        <v>20</v>
      </c>
      <c r="AT2" s="686" t="s">
        <v>212</v>
      </c>
      <c r="AU2" s="686"/>
      <c r="AV2" s="1318" t="s">
        <v>258</v>
      </c>
      <c r="AW2" s="1319"/>
      <c r="AX2" s="1318" t="s">
        <v>259</v>
      </c>
      <c r="AY2" s="1319"/>
      <c r="AZ2" s="1320" t="s">
        <v>354</v>
      </c>
      <c r="BA2" s="1321"/>
      <c r="BB2" s="1320" t="s">
        <v>355</v>
      </c>
      <c r="BC2" s="1321"/>
      <c r="BD2" s="1318" t="s">
        <v>356</v>
      </c>
      <c r="BE2" s="1319"/>
      <c r="BF2" s="1318" t="s">
        <v>357</v>
      </c>
      <c r="BG2" s="1319"/>
      <c r="BH2" s="1318" t="s">
        <v>260</v>
      </c>
      <c r="BI2" s="1319"/>
      <c r="BJ2" s="1318" t="s">
        <v>261</v>
      </c>
      <c r="BK2" s="1319"/>
      <c r="BL2" s="1318" t="s">
        <v>262</v>
      </c>
      <c r="BM2" s="1319"/>
      <c r="BN2" s="1318" t="s">
        <v>263</v>
      </c>
      <c r="BO2" s="1319"/>
      <c r="BP2" s="1318" t="s">
        <v>264</v>
      </c>
      <c r="BQ2" s="1319"/>
      <c r="BR2" s="1318" t="s">
        <v>265</v>
      </c>
      <c r="BS2" s="1319"/>
      <c r="BU2" s="832"/>
      <c r="BV2" s="832"/>
      <c r="BW2" s="832"/>
      <c r="BX2" s="832"/>
      <c r="BY2" s="832"/>
      <c r="BZ2" s="832"/>
      <c r="CA2" s="832"/>
      <c r="CB2" s="832"/>
      <c r="CC2" s="832"/>
      <c r="CD2" s="832"/>
      <c r="CE2" s="832"/>
      <c r="CF2" s="832"/>
    </row>
    <row r="3" spans="1:84">
      <c r="A3" s="841">
        <v>1</v>
      </c>
      <c r="B3" s="842" t="e">
        <f>SUMIF(#REF!,D3,#REF!)</f>
        <v>#REF!</v>
      </c>
      <c r="C3" s="843">
        <f>SUMIF(Draw!$B$3:$B$42,D3,Draw!$C$3:$C$42)</f>
        <v>2</v>
      </c>
      <c r="D3" s="844" t="str">
        <f>VLOOKUP($A3,$AC$3:$AS$59,4,FALSE)</f>
        <v>Dimitry Koltakov</v>
      </c>
      <c r="E3" s="963">
        <f>VLOOKUP($A3,$AC$3:$AS$59,17,FALSE)</f>
        <v>121</v>
      </c>
      <c r="F3" s="845">
        <f>VLOOKUP($A3,$AC$3:$AS$59,5,FALSE)</f>
        <v>15</v>
      </c>
      <c r="G3" s="846">
        <f>VLOOKUP($A3,$AC$3:$AS$59,6,FALSE)</f>
        <v>20</v>
      </c>
      <c r="H3" s="845">
        <f>VLOOKUP($A3,$AC$3:$AS$59,7,FALSE)</f>
        <v>17</v>
      </c>
      <c r="I3" s="846">
        <f>VLOOKUP($A3,$AC$3:$AS$59,8,FALSE)</f>
        <v>16</v>
      </c>
      <c r="J3" s="845">
        <f>VLOOKUP($A3,$AC$3:$AS$59,9,FALSE)</f>
        <v>18</v>
      </c>
      <c r="K3" s="846">
        <f>VLOOKUP($A3,$AC$3:$AS$59,10,FALSE)</f>
        <v>14</v>
      </c>
      <c r="L3" s="845">
        <f>VLOOKUP($A3,$AC$3:$AS$59,11,FALSE)</f>
        <v>21</v>
      </c>
      <c r="M3" s="846" t="str">
        <f>VLOOKUP($A3,$AC$3:$AS$59,12,FALSE)</f>
        <v/>
      </c>
      <c r="N3" s="845" t="str">
        <f>VLOOKUP($A3,$AC$3:$AS$59,13,FALSE)</f>
        <v/>
      </c>
      <c r="O3" s="846" t="str">
        <f t="shared" ref="O3:O34" si="1">VLOOKUP($A3,$AC$3:$AS$59,14,FALSE)</f>
        <v/>
      </c>
      <c r="P3" s="845" t="str">
        <f t="shared" ref="P3:P34" si="2">VLOOKUP($A3,$AC$3:$AS$59,15,FALSE)</f>
        <v/>
      </c>
      <c r="Q3" s="846" t="str">
        <f>VLOOKUP($A3,$AC$3:$AS$59,16,FALSE)</f>
        <v/>
      </c>
      <c r="S3" s="986">
        <f>COUNTIF(AV$3:AV$20,$AF3)</f>
        <v>1</v>
      </c>
      <c r="T3" s="986">
        <f>COUNTIF(AX$3:AX$20,$AF3)*2</f>
        <v>2</v>
      </c>
      <c r="U3" s="986">
        <f>COUNTIF(AZ$3:AZ$20,$AF3)*3</f>
        <v>3</v>
      </c>
      <c r="V3" s="986">
        <f>COUNTIF(BB$3:BB$20,$AF3)*4</f>
        <v>4</v>
      </c>
      <c r="W3" s="986">
        <f>COUNTIF(BD$3:BD$20,$AF3)*5</f>
        <v>5</v>
      </c>
      <c r="X3" s="986">
        <f>COUNTIF(BF$3:BF$20,$AF3)*6</f>
        <v>6</v>
      </c>
      <c r="Y3" s="986">
        <f>COUNTIF(BH$3:BH$20,$AF3)*7</f>
        <v>7</v>
      </c>
      <c r="Z3" s="986">
        <f>COUNTIF(BJ$3:BJ$20,$AF3)*8</f>
        <v>0</v>
      </c>
      <c r="AA3" s="989">
        <f>MAX(S3:Z3)</f>
        <v>7</v>
      </c>
      <c r="AB3" s="160">
        <v>-51</v>
      </c>
      <c r="AC3" s="978">
        <f>RANK(AE3,$AE$3:$AE$42)+COUNTIF(AE$3:AE3,AE3)-1</f>
        <v>4</v>
      </c>
      <c r="AD3" s="990">
        <f>SUM((100-Draw!C3)/1000)+(AA3/100000)</f>
        <v>9.9070000000000005E-2</v>
      </c>
      <c r="AE3" s="161">
        <f>IF(AS3="",AB3,SUM(AD3+AS3))</f>
        <v>99.099069999999998</v>
      </c>
      <c r="AF3" s="162" t="str">
        <f>Draw!B3</f>
        <v>Daniil Ivanov</v>
      </c>
      <c r="AG3" s="163">
        <f>IF(BU3=0,"",VLOOKUP($AF3,$AV$3:$AW$20,2,FALSE))</f>
        <v>11</v>
      </c>
      <c r="AH3" s="163">
        <f>IF(BV3=0,"",VLOOKUP($AF3,$AX$3:$AY$20,2,FALSE))</f>
        <v>11</v>
      </c>
      <c r="AI3" s="163">
        <f>IF(BW3=0,"",VLOOKUP($AF3,$AZ$3:$BA$20,2,FALSE))</f>
        <v>19</v>
      </c>
      <c r="AJ3" s="164">
        <f>IF(BX3=0,"",VLOOKUP($AF3,$BB$3:$BC$20,2,FALSE))</f>
        <v>12</v>
      </c>
      <c r="AK3" s="164">
        <f>IF(BY3=0,"",VLOOKUP($AF3,$BD$3:$BE$20,2,FALSE))</f>
        <v>14</v>
      </c>
      <c r="AL3" s="163">
        <f>IF(BZ3=0,"",VLOOKUP($AF3,$BF$3:$BG$20,2,FALSE))</f>
        <v>15</v>
      </c>
      <c r="AM3" s="163">
        <f>IF(CA3=0,"",VLOOKUP($AF3,$BH$3:$BI$20,2,FALSE))</f>
        <v>17</v>
      </c>
      <c r="AN3" s="163" t="str">
        <f>IF(CB3=0,"",VLOOKUP($AF3,$BJ$3:$BK$20,2,FALSE))</f>
        <v/>
      </c>
      <c r="AO3" s="163" t="str">
        <f>IF(CC3=0,"",VLOOKUP($AF3,$BL$3:$BM$20,2,FALSE))</f>
        <v/>
      </c>
      <c r="AP3" s="163" t="str">
        <f>IF(CD3=0,"",VLOOKUP($AF3,$BN$3:$BO$20,2,FALSE))</f>
        <v/>
      </c>
      <c r="AQ3" s="163" t="str">
        <f>IF(CE3=0,"",VLOOKUP($AF3,$BP$3:$BQ$20,2,FALSE))</f>
        <v/>
      </c>
      <c r="AR3" s="479" t="str">
        <f>IF(CF3=0,"",VLOOKUP($AF3,$BR$3:$BS$20,2,FALSE))</f>
        <v/>
      </c>
      <c r="AS3" s="474">
        <f t="shared" ref="AS3:AS34" si="3">IF(AT3=12,"",SUM(AG3:AR3))</f>
        <v>99</v>
      </c>
      <c r="AT3" s="397">
        <f>COUNTIF(AG3:AR3,"")</f>
        <v>5</v>
      </c>
      <c r="AU3" s="397"/>
      <c r="AV3" s="607" t="s">
        <v>373</v>
      </c>
      <c r="AW3" s="608">
        <v>21</v>
      </c>
      <c r="AX3" s="607" t="s">
        <v>373</v>
      </c>
      <c r="AY3" s="609">
        <v>20</v>
      </c>
      <c r="AZ3" s="581" t="s">
        <v>302</v>
      </c>
      <c r="BA3" s="576">
        <v>20</v>
      </c>
      <c r="BB3" s="581" t="s">
        <v>302</v>
      </c>
      <c r="BC3" s="576">
        <v>21</v>
      </c>
      <c r="BD3" s="581" t="s">
        <v>307</v>
      </c>
      <c r="BE3" s="576">
        <v>18</v>
      </c>
      <c r="BF3" s="581" t="s">
        <v>306</v>
      </c>
      <c r="BG3" s="576">
        <v>15</v>
      </c>
      <c r="BH3" s="581" t="str">
        <f>IF('Day 1'!$I$8&lt;&gt;BH$2,"",IF('Day 1'!$BE12="","",'Day 1'!$BE12))</f>
        <v>Dimitry Koltakov</v>
      </c>
      <c r="BI3" s="576">
        <f>IF(BH3="","",'Day 1'!$BF12)</f>
        <v>21</v>
      </c>
      <c r="BJ3" s="581" t="str">
        <f>IF('Day 2'!$I$8&lt;&gt;BJ$2,"",IF('Day 2'!$BE12="","",'Day 2'!$BE12))</f>
        <v/>
      </c>
      <c r="BK3" s="576" t="str">
        <f>IF(BJ3="","",'Day 2'!$BF12)</f>
        <v/>
      </c>
      <c r="BL3" s="581" t="str">
        <f>IF('Day 1'!$I$8&lt;&gt;BL$2,"",IF('Day 1'!$BE12="","",'Day 1'!$BE12))</f>
        <v/>
      </c>
      <c r="BM3" s="576" t="str">
        <f>IF(BL3="","",'Day 1'!$BF12)</f>
        <v/>
      </c>
      <c r="BN3" s="581" t="str">
        <f>IF('Day 2'!$I$8&lt;&gt;BN$2,"",IF('Day 2'!$BE12="","",'Day 2'!$BE12))</f>
        <v/>
      </c>
      <c r="BO3" s="576" t="str">
        <f>IF(BN3="","",'Day 2'!$BF12)</f>
        <v/>
      </c>
      <c r="BP3" s="581" t="str">
        <f>IF('Day 1'!$I$8&lt;&gt;BP$2,"",IF('Day 1'!$BE12="","",'Day 1'!$BE12))</f>
        <v/>
      </c>
      <c r="BQ3" s="576" t="str">
        <f>IF(BP3="","",'Day 1'!$BF12)</f>
        <v/>
      </c>
      <c r="BR3" s="581" t="str">
        <f>IF('Day 2'!$I$8&lt;&gt;BR$2,"",IF('Day 2'!$BE12="","",'Day 2'!$BE12))</f>
        <v/>
      </c>
      <c r="BS3" s="576" t="str">
        <f>IF(BR3="","",'Day 2'!$BF12)</f>
        <v/>
      </c>
      <c r="BU3" s="835">
        <f>COUNTIF(AV$3:AV$20,$AF3)</f>
        <v>1</v>
      </c>
      <c r="BV3" s="835">
        <f t="shared" ref="BV3:BV42" si="4">COUNTIF(AX$3:AX$20,$AF3)</f>
        <v>1</v>
      </c>
      <c r="BW3" s="835">
        <f t="shared" ref="BW3:BW42" si="5">COUNTIF(AZ$3:AZ$20,$AF3)</f>
        <v>1</v>
      </c>
      <c r="BX3" s="835">
        <f t="shared" ref="BX3:BX42" si="6">COUNTIF(BB$3:BB$20,$AF3)</f>
        <v>1</v>
      </c>
      <c r="BY3" s="835">
        <f t="shared" ref="BY3:BY34" si="7">COUNTIF(BD$3:BD$20,$AF3)</f>
        <v>1</v>
      </c>
      <c r="BZ3" s="835">
        <f>COUNTIF(BF$3:BF$20,$AF3)</f>
        <v>1</v>
      </c>
      <c r="CA3" s="835">
        <f>COUNTIF(BH$3:BH$20,$AF3)</f>
        <v>1</v>
      </c>
      <c r="CB3" s="835">
        <f>COUNTIF(BJ$3:BJ$20,$AF3)</f>
        <v>0</v>
      </c>
      <c r="CC3" s="835">
        <f t="shared" ref="CC3:CC42" si="8">COUNTIF(BL$3:BL$20,$AF3)</f>
        <v>0</v>
      </c>
      <c r="CD3" s="835">
        <f t="shared" ref="CD3:CD42" si="9">COUNTIF(BN$3:BN$20,$AF3)</f>
        <v>0</v>
      </c>
      <c r="CE3" s="835">
        <f t="shared" ref="CE3:CE42" si="10">COUNTIF(BP$3:BP$20,$AF3)</f>
        <v>0</v>
      </c>
      <c r="CF3" s="835">
        <f t="shared" ref="CF3:CF34" si="11">COUNTIF(BR$3:BR$20,$AF3)</f>
        <v>0</v>
      </c>
    </row>
    <row r="4" spans="1:84">
      <c r="A4" s="847">
        <v>2</v>
      </c>
      <c r="B4" s="848" t="e">
        <f>SUMIF(#REF!,D4,#REF!)</f>
        <v>#REF!</v>
      </c>
      <c r="C4" s="849">
        <f>SUMIF(Draw!$B$3:$B$42,D4,Draw!$C$3:$C$42)</f>
        <v>4</v>
      </c>
      <c r="D4" s="850" t="str">
        <f t="shared" ref="D4:D42" si="12">VLOOKUP($A4,$AC$3:$AS$59,4,FALSE)</f>
        <v>Igor Kononov</v>
      </c>
      <c r="E4" s="964">
        <f t="shared" ref="E4:E42" si="13">VLOOKUP($A4,$AC$3:$AS$59,17,FALSE)</f>
        <v>105</v>
      </c>
      <c r="F4" s="851">
        <f t="shared" ref="F4:F42" si="14">VLOOKUP($A4,$AC$3:$AS$59,5,FALSE)</f>
        <v>15</v>
      </c>
      <c r="G4" s="852">
        <f t="shared" ref="G4:G42" si="15">VLOOKUP($A4,$AC$3:$AS$59,6,FALSE)</f>
        <v>12</v>
      </c>
      <c r="H4" s="851">
        <f t="shared" ref="H4:H42" si="16">VLOOKUP($A4,$AC$3:$AS$59,7,FALSE)</f>
        <v>20</v>
      </c>
      <c r="I4" s="852">
        <f t="shared" ref="I4:I42" si="17">VLOOKUP($A4,$AC$3:$AS$59,8,FALSE)</f>
        <v>21</v>
      </c>
      <c r="J4" s="851">
        <f t="shared" ref="J4:J42" si="18">VLOOKUP($A4,$AC$3:$AS$59,9,FALSE)</f>
        <v>15</v>
      </c>
      <c r="K4" s="852">
        <f t="shared" ref="K4:K42" si="19">VLOOKUP($A4,$AC$3:$AS$59,10,FALSE)</f>
        <v>8</v>
      </c>
      <c r="L4" s="851">
        <f t="shared" ref="L4:L42" si="20">VLOOKUP($A4,$AC$3:$AS$59,11,FALSE)</f>
        <v>14</v>
      </c>
      <c r="M4" s="852" t="str">
        <f t="shared" ref="M4:M42" si="21">VLOOKUP($A4,$AC$3:$AS$59,12,FALSE)</f>
        <v/>
      </c>
      <c r="N4" s="851" t="str">
        <f t="shared" ref="N4:N42" si="22">VLOOKUP($A4,$AC$3:$AS$59,13,FALSE)</f>
        <v/>
      </c>
      <c r="O4" s="852" t="str">
        <f t="shared" si="1"/>
        <v/>
      </c>
      <c r="P4" s="851" t="str">
        <f t="shared" si="2"/>
        <v/>
      </c>
      <c r="Q4" s="852" t="str">
        <f t="shared" ref="Q4:Q42" si="23">VLOOKUP($A4,$AC$3:$AS$59,16,FALSE)</f>
        <v/>
      </c>
      <c r="S4" s="987">
        <f t="shared" ref="S4:S42" si="24">COUNTIF(AV$3:AV$20,$AF4)</f>
        <v>1</v>
      </c>
      <c r="T4" s="987">
        <f t="shared" ref="T4:T42" si="25">COUNTIF(AX$3:AX$20,$AF4)*2</f>
        <v>2</v>
      </c>
      <c r="U4" s="987">
        <f t="shared" ref="U4:U42" si="26">COUNTIF(AZ$3:AZ$20,$AF4)*3</f>
        <v>3</v>
      </c>
      <c r="V4" s="987">
        <f t="shared" ref="V4:V42" si="27">COUNTIF(BB$3:BB$20,$AF4)*4</f>
        <v>4</v>
      </c>
      <c r="W4" s="987">
        <f t="shared" ref="W4:W42" si="28">COUNTIF(BD$3:BD$20,$AF4)*5</f>
        <v>5</v>
      </c>
      <c r="X4" s="987">
        <f t="shared" ref="X4:X42" si="29">COUNTIF(BF$3:BF$20,$AF4)*6</f>
        <v>6</v>
      </c>
      <c r="Y4" s="987">
        <f t="shared" ref="Y4:Y42" si="30">COUNTIF(BH$3:BH$20,$AF4)*7</f>
        <v>7</v>
      </c>
      <c r="Z4" s="987">
        <f t="shared" ref="Z4:Z42" si="31">COUNTIF(BJ$3:BJ$20,$AF4)*8</f>
        <v>0</v>
      </c>
      <c r="AA4" s="989">
        <f t="shared" ref="AA4:AA42" si="32">MAX(S4:Z4)</f>
        <v>7</v>
      </c>
      <c r="AB4" s="160">
        <v>-52</v>
      </c>
      <c r="AC4" s="979">
        <f>RANK(AE4,$AE$3:$AE$42)+COUNTIF(AE$3:AE4,AE4)-1</f>
        <v>1</v>
      </c>
      <c r="AD4" s="990">
        <f>SUM((100-Draw!C4)/1000)+(AA4/100000)</f>
        <v>9.8070000000000004E-2</v>
      </c>
      <c r="AE4" s="167">
        <f t="shared" ref="AE4:AE42" si="33">IF(AS4="",AB4,SUM(AD4+AS4))</f>
        <v>121.09807000000001</v>
      </c>
      <c r="AF4" s="168" t="str">
        <f>Draw!B4</f>
        <v>Dimitry Koltakov</v>
      </c>
      <c r="AG4" s="169">
        <f t="shared" ref="AG4:AG42" si="34">IF(BU4=0,"",VLOOKUP($AF4,$AV$3:$AW$20,2,FALSE))</f>
        <v>15</v>
      </c>
      <c r="AH4" s="169">
        <f t="shared" ref="AH4:AH42" si="35">IF(BV4=0,"",VLOOKUP($AF4,$AX$3:$AY$20,2,FALSE))</f>
        <v>20</v>
      </c>
      <c r="AI4" s="169">
        <f t="shared" ref="AI4:AI42" si="36">IF(BW4=0,"",VLOOKUP($AF4,$AZ$3:$BA$20,2,FALSE))</f>
        <v>17</v>
      </c>
      <c r="AJ4" s="169">
        <f t="shared" ref="AJ4:AJ42" si="37">IF(BX4=0,"",VLOOKUP($AF4,$BB$3:$BC$20,2,FALSE))</f>
        <v>16</v>
      </c>
      <c r="AK4" s="169">
        <f t="shared" ref="AK4:AK42" si="38">IF(BY4=0,"",VLOOKUP($AF4,$BD$3:$BE$20,2,FALSE))</f>
        <v>18</v>
      </c>
      <c r="AL4" s="169">
        <f t="shared" ref="AL4:AL42" si="39">IF(BZ4=0,"",VLOOKUP($AF4,$BF$3:$BG$20,2,FALSE))</f>
        <v>14</v>
      </c>
      <c r="AM4" s="169">
        <f t="shared" ref="AM4:AM42" si="40">IF(CA4=0,"",VLOOKUP($AF4,$BH$3:$BI$20,2,FALSE))</f>
        <v>21</v>
      </c>
      <c r="AN4" s="169" t="str">
        <f t="shared" ref="AN4:AN42" si="41">IF(CB4=0,"",VLOOKUP($AF4,$BJ$3:$BK$20,2,FALSE))</f>
        <v/>
      </c>
      <c r="AO4" s="169" t="str">
        <f t="shared" ref="AO4:AO42" si="42">IF(CC4=0,"",VLOOKUP($AF4,$BL$3:$BM$20,2,FALSE))</f>
        <v/>
      </c>
      <c r="AP4" s="169" t="str">
        <f t="shared" ref="AP4:AP42" si="43">IF(CD4=0,"",VLOOKUP($AF4,$BN$3:$BO$20,2,FALSE))</f>
        <v/>
      </c>
      <c r="AQ4" s="169" t="str">
        <f t="shared" ref="AQ4:AQ42" si="44">IF(CE4=0,"",VLOOKUP($AF4,$BP$3:$BQ$20,2,FALSE))</f>
        <v/>
      </c>
      <c r="AR4" s="480" t="str">
        <f t="shared" ref="AR4:AR42" si="45">IF(CF4=0,"",VLOOKUP($AF4,$BR$3:$BS$20,2,FALSE))</f>
        <v/>
      </c>
      <c r="AS4" s="139">
        <f t="shared" si="3"/>
        <v>121</v>
      </c>
      <c r="AT4" s="397">
        <f t="shared" ref="AT4:AT42" si="46">COUNTIF(AG4:AR4,"")</f>
        <v>5</v>
      </c>
      <c r="AU4" s="397"/>
      <c r="AV4" s="610" t="s">
        <v>305</v>
      </c>
      <c r="AW4" s="611">
        <v>16</v>
      </c>
      <c r="AX4" s="610" t="s">
        <v>307</v>
      </c>
      <c r="AY4" s="612">
        <v>20</v>
      </c>
      <c r="AZ4" s="582" t="s">
        <v>306</v>
      </c>
      <c r="BA4" s="577">
        <v>19</v>
      </c>
      <c r="BB4" s="582" t="s">
        <v>362</v>
      </c>
      <c r="BC4" s="577">
        <v>16</v>
      </c>
      <c r="BD4" s="582" t="s">
        <v>254</v>
      </c>
      <c r="BE4" s="577">
        <v>12</v>
      </c>
      <c r="BF4" s="582" t="s">
        <v>307</v>
      </c>
      <c r="BG4" s="577">
        <v>14</v>
      </c>
      <c r="BH4" s="582" t="str">
        <f>IF('Day 1'!$I$8&lt;&gt;BH$2,"",IF('Day 1'!$BE13="","",'Day 1'!$BE13))</f>
        <v>Daniil Ivanov</v>
      </c>
      <c r="BI4" s="577">
        <f>IF(BH4="","",'Day 1'!$BF13)</f>
        <v>17</v>
      </c>
      <c r="BJ4" s="582" t="str">
        <f>IF('Day 2'!$I$8&lt;&gt;BJ$2,"",IF('Day 2'!$BE13="","",'Day 2'!$BE13))</f>
        <v/>
      </c>
      <c r="BK4" s="577" t="str">
        <f>IF(BJ4="","",'Day 2'!$BF13)</f>
        <v/>
      </c>
      <c r="BL4" s="582" t="str">
        <f>IF('Day 1'!$I$8&lt;&gt;BL$2,"",IF('Day 1'!$BE13="","",'Day 1'!$BE13))</f>
        <v/>
      </c>
      <c r="BM4" s="577" t="str">
        <f>IF(BL4="","",'Day 1'!$BF13)</f>
        <v/>
      </c>
      <c r="BN4" s="582" t="str">
        <f>IF('Day 2'!$I$8&lt;&gt;BN$2,"",IF('Day 2'!$BE13="","",'Day 2'!$BE13))</f>
        <v/>
      </c>
      <c r="BO4" s="577" t="str">
        <f>IF(BN4="","",'Day 2'!$BF13)</f>
        <v/>
      </c>
      <c r="BP4" s="582" t="str">
        <f>IF('Day 1'!$I$8&lt;&gt;BP$2,"",IF('Day 1'!$BE13="","",'Day 1'!$BE13))</f>
        <v/>
      </c>
      <c r="BQ4" s="577" t="str">
        <f>IF(BP4="","",'Day 1'!$BF13)</f>
        <v/>
      </c>
      <c r="BR4" s="582" t="str">
        <f>IF('Day 2'!$I$8&lt;&gt;BR$2,"",IF('Day 2'!$BE13="","",'Day 2'!$BE13))</f>
        <v/>
      </c>
      <c r="BS4" s="577" t="str">
        <f>IF(BR4="","",'Day 2'!$BF13)</f>
        <v/>
      </c>
      <c r="BU4" s="836">
        <f t="shared" ref="BU4:BU42" si="47">COUNTIF(AV$3:AV$20,$AF4)</f>
        <v>1</v>
      </c>
      <c r="BV4" s="836">
        <f t="shared" si="4"/>
        <v>1</v>
      </c>
      <c r="BW4" s="836">
        <f t="shared" si="5"/>
        <v>1</v>
      </c>
      <c r="BX4" s="836">
        <f t="shared" si="6"/>
        <v>1</v>
      </c>
      <c r="BY4" s="836">
        <f t="shared" si="7"/>
        <v>1</v>
      </c>
      <c r="BZ4" s="836">
        <f t="shared" ref="BZ4:BZ42" si="48">COUNTIF(BF$3:BF$20,$AF4)</f>
        <v>1</v>
      </c>
      <c r="CA4" s="836">
        <f t="shared" ref="CA4:CA42" si="49">COUNTIF(BH$3:BH$20,$AF4)</f>
        <v>1</v>
      </c>
      <c r="CB4" s="836">
        <f t="shared" ref="CB4:CB42" si="50">COUNTIF(BJ$3:BJ$20,$AF4)</f>
        <v>0</v>
      </c>
      <c r="CC4" s="836">
        <f t="shared" si="8"/>
        <v>0</v>
      </c>
      <c r="CD4" s="836">
        <f t="shared" si="9"/>
        <v>0</v>
      </c>
      <c r="CE4" s="836">
        <f t="shared" si="10"/>
        <v>0</v>
      </c>
      <c r="CF4" s="836">
        <f t="shared" si="11"/>
        <v>0</v>
      </c>
    </row>
    <row r="5" spans="1:84">
      <c r="A5" s="847">
        <v>3</v>
      </c>
      <c r="B5" s="848" t="e">
        <f>SUMIF(#REF!,D5,#REF!)</f>
        <v>#REF!</v>
      </c>
      <c r="C5" s="849">
        <f>SUMIF(Draw!$B$3:$B$42,D5,Draw!$C$3:$C$42)</f>
        <v>3</v>
      </c>
      <c r="D5" s="850" t="str">
        <f t="shared" si="12"/>
        <v>Dimitry Khomitsevich</v>
      </c>
      <c r="E5" s="964">
        <f t="shared" si="13"/>
        <v>103</v>
      </c>
      <c r="F5" s="851">
        <f t="shared" si="14"/>
        <v>14</v>
      </c>
      <c r="G5" s="852">
        <f t="shared" si="15"/>
        <v>15</v>
      </c>
      <c r="H5" s="851">
        <f t="shared" si="16"/>
        <v>12</v>
      </c>
      <c r="I5" s="852">
        <f t="shared" si="17"/>
        <v>16</v>
      </c>
      <c r="J5" s="851">
        <f t="shared" si="18"/>
        <v>15</v>
      </c>
      <c r="K5" s="852">
        <f t="shared" si="19"/>
        <v>13</v>
      </c>
      <c r="L5" s="851">
        <f t="shared" si="20"/>
        <v>18</v>
      </c>
      <c r="M5" s="852" t="str">
        <f t="shared" si="21"/>
        <v/>
      </c>
      <c r="N5" s="851" t="str">
        <f t="shared" si="22"/>
        <v/>
      </c>
      <c r="O5" s="852" t="str">
        <f t="shared" si="1"/>
        <v/>
      </c>
      <c r="P5" s="851" t="str">
        <f t="shared" si="2"/>
        <v/>
      </c>
      <c r="Q5" s="852" t="str">
        <f t="shared" si="23"/>
        <v/>
      </c>
      <c r="S5" s="987">
        <f t="shared" si="24"/>
        <v>1</v>
      </c>
      <c r="T5" s="987">
        <f t="shared" si="25"/>
        <v>2</v>
      </c>
      <c r="U5" s="987">
        <f t="shared" si="26"/>
        <v>3</v>
      </c>
      <c r="V5" s="987">
        <f t="shared" si="27"/>
        <v>4</v>
      </c>
      <c r="W5" s="987">
        <f t="shared" si="28"/>
        <v>5</v>
      </c>
      <c r="X5" s="987">
        <f t="shared" si="29"/>
        <v>6</v>
      </c>
      <c r="Y5" s="987">
        <f t="shared" si="30"/>
        <v>7</v>
      </c>
      <c r="Z5" s="987">
        <f t="shared" si="31"/>
        <v>0</v>
      </c>
      <c r="AA5" s="989">
        <f t="shared" si="32"/>
        <v>7</v>
      </c>
      <c r="AB5" s="160">
        <v>-53</v>
      </c>
      <c r="AC5" s="979">
        <f>RANK(AE5,$AE$3:$AE$42)+COUNTIF(AE$3:AE5,AE5)-1</f>
        <v>3</v>
      </c>
      <c r="AD5" s="990">
        <f>SUM((100-Draw!C5)/1000)+(AA5/100000)</f>
        <v>9.7070000000000004E-2</v>
      </c>
      <c r="AE5" s="167">
        <f t="shared" si="33"/>
        <v>103.09707</v>
      </c>
      <c r="AF5" s="168" t="str">
        <f>Draw!B5</f>
        <v>Dimitry Khomitsevich</v>
      </c>
      <c r="AG5" s="169">
        <f t="shared" si="34"/>
        <v>14</v>
      </c>
      <c r="AH5" s="169">
        <f t="shared" si="35"/>
        <v>15</v>
      </c>
      <c r="AI5" s="170">
        <f t="shared" si="36"/>
        <v>12</v>
      </c>
      <c r="AJ5" s="169">
        <f t="shared" si="37"/>
        <v>16</v>
      </c>
      <c r="AK5" s="170">
        <f t="shared" si="38"/>
        <v>15</v>
      </c>
      <c r="AL5" s="169">
        <f t="shared" si="39"/>
        <v>13</v>
      </c>
      <c r="AM5" s="169">
        <f t="shared" si="40"/>
        <v>18</v>
      </c>
      <c r="AN5" s="169" t="str">
        <f t="shared" si="41"/>
        <v/>
      </c>
      <c r="AO5" s="169" t="str">
        <f t="shared" si="42"/>
        <v/>
      </c>
      <c r="AP5" s="169" t="str">
        <f t="shared" si="43"/>
        <v/>
      </c>
      <c r="AQ5" s="169" t="str">
        <f t="shared" si="44"/>
        <v/>
      </c>
      <c r="AR5" s="480" t="str">
        <f t="shared" si="45"/>
        <v/>
      </c>
      <c r="AS5" s="139">
        <f t="shared" si="3"/>
        <v>103</v>
      </c>
      <c r="AT5" s="397">
        <f t="shared" si="46"/>
        <v>5</v>
      </c>
      <c r="AU5" s="397"/>
      <c r="AV5" s="610" t="s">
        <v>362</v>
      </c>
      <c r="AW5" s="611">
        <v>14</v>
      </c>
      <c r="AX5" s="610" t="s">
        <v>362</v>
      </c>
      <c r="AY5" s="612">
        <v>15</v>
      </c>
      <c r="AZ5" s="582" t="s">
        <v>307</v>
      </c>
      <c r="BA5" s="577">
        <v>17</v>
      </c>
      <c r="BB5" s="582" t="s">
        <v>305</v>
      </c>
      <c r="BC5" s="577">
        <v>12</v>
      </c>
      <c r="BD5" s="582" t="s">
        <v>362</v>
      </c>
      <c r="BE5" s="577">
        <v>15</v>
      </c>
      <c r="BF5" s="582" t="s">
        <v>362</v>
      </c>
      <c r="BG5" s="577">
        <v>13</v>
      </c>
      <c r="BH5" s="582" t="str">
        <f>IF('Day 1'!$I$8&lt;&gt;BH$2,"",IF('Day 1'!$BE14="","",'Day 1'!$BE14))</f>
        <v>Dimitry Khomitsevich</v>
      </c>
      <c r="BI5" s="577">
        <f>IF(BH5="","",'Day 1'!$BF14)</f>
        <v>18</v>
      </c>
      <c r="BJ5" s="582" t="str">
        <f>IF('Day 2'!$I$8&lt;&gt;BJ$2,"",IF('Day 2'!$BE14="","",'Day 2'!$BE14))</f>
        <v/>
      </c>
      <c r="BK5" s="577" t="str">
        <f>IF(BJ5="","",'Day 2'!$BF14)</f>
        <v/>
      </c>
      <c r="BL5" s="582" t="str">
        <f>IF('Day 1'!$I$8&lt;&gt;BL$2,"",IF('Day 1'!$BE14="","",'Day 1'!$BE14))</f>
        <v/>
      </c>
      <c r="BM5" s="577" t="str">
        <f>IF(BL5="","",'Day 1'!$BF14)</f>
        <v/>
      </c>
      <c r="BN5" s="582" t="str">
        <f>IF('Day 2'!$I$8&lt;&gt;BN$2,"",IF('Day 2'!$BE14="","",'Day 2'!$BE14))</f>
        <v/>
      </c>
      <c r="BO5" s="577" t="str">
        <f>IF(BN5="","",'Day 2'!$BF14)</f>
        <v/>
      </c>
      <c r="BP5" s="582" t="str">
        <f>IF('Day 1'!$I$8&lt;&gt;BP$2,"",IF('Day 1'!$BE14="","",'Day 1'!$BE14))</f>
        <v/>
      </c>
      <c r="BQ5" s="577" t="str">
        <f>IF(BP5="","",'Day 1'!$BF14)</f>
        <v/>
      </c>
      <c r="BR5" s="582" t="str">
        <f>IF('Day 2'!$I$8&lt;&gt;BR$2,"",IF('Day 2'!$BE14="","",'Day 2'!$BE14))</f>
        <v/>
      </c>
      <c r="BS5" s="577" t="str">
        <f>IF(BR5="","",'Day 2'!$BF14)</f>
        <v/>
      </c>
      <c r="BU5" s="836">
        <f t="shared" si="47"/>
        <v>1</v>
      </c>
      <c r="BV5" s="836">
        <f t="shared" si="4"/>
        <v>1</v>
      </c>
      <c r="BW5" s="836">
        <f t="shared" si="5"/>
        <v>1</v>
      </c>
      <c r="BX5" s="836">
        <f t="shared" si="6"/>
        <v>1</v>
      </c>
      <c r="BY5" s="836">
        <f t="shared" si="7"/>
        <v>1</v>
      </c>
      <c r="BZ5" s="836">
        <f t="shared" si="48"/>
        <v>1</v>
      </c>
      <c r="CA5" s="836">
        <f t="shared" si="49"/>
        <v>1</v>
      </c>
      <c r="CB5" s="836">
        <f t="shared" si="50"/>
        <v>0</v>
      </c>
      <c r="CC5" s="836">
        <f t="shared" si="8"/>
        <v>0</v>
      </c>
      <c r="CD5" s="836">
        <f t="shared" si="9"/>
        <v>0</v>
      </c>
      <c r="CE5" s="836">
        <f t="shared" si="10"/>
        <v>0</v>
      </c>
      <c r="CF5" s="836">
        <f t="shared" si="11"/>
        <v>0</v>
      </c>
    </row>
    <row r="6" spans="1:84" ht="13.5" thickBot="1">
      <c r="A6" s="847">
        <v>4</v>
      </c>
      <c r="B6" s="848" t="e">
        <f>SUMIF(#REF!,D6,#REF!)</f>
        <v>#REF!</v>
      </c>
      <c r="C6" s="849">
        <f>SUMIF(Draw!$B$3:$B$42,D6,Draw!$C$3:$C$42)</f>
        <v>1</v>
      </c>
      <c r="D6" s="850" t="str">
        <f t="shared" si="12"/>
        <v>Daniil Ivanov</v>
      </c>
      <c r="E6" s="964">
        <f t="shared" si="13"/>
        <v>99</v>
      </c>
      <c r="F6" s="851">
        <f t="shared" si="14"/>
        <v>11</v>
      </c>
      <c r="G6" s="852">
        <f t="shared" si="15"/>
        <v>11</v>
      </c>
      <c r="H6" s="851">
        <f t="shared" si="16"/>
        <v>19</v>
      </c>
      <c r="I6" s="852">
        <f t="shared" si="17"/>
        <v>12</v>
      </c>
      <c r="J6" s="851">
        <f t="shared" si="18"/>
        <v>14</v>
      </c>
      <c r="K6" s="852">
        <f t="shared" si="19"/>
        <v>15</v>
      </c>
      <c r="L6" s="851">
        <f t="shared" si="20"/>
        <v>17</v>
      </c>
      <c r="M6" s="852" t="str">
        <f t="shared" si="21"/>
        <v/>
      </c>
      <c r="N6" s="851" t="str">
        <f t="shared" si="22"/>
        <v/>
      </c>
      <c r="O6" s="852" t="str">
        <f t="shared" si="1"/>
        <v/>
      </c>
      <c r="P6" s="851" t="str">
        <f t="shared" si="2"/>
        <v/>
      </c>
      <c r="Q6" s="852" t="str">
        <f t="shared" si="23"/>
        <v/>
      </c>
      <c r="S6" s="987">
        <f t="shared" si="24"/>
        <v>1</v>
      </c>
      <c r="T6" s="987">
        <f t="shared" si="25"/>
        <v>2</v>
      </c>
      <c r="U6" s="987">
        <f t="shared" si="26"/>
        <v>3</v>
      </c>
      <c r="V6" s="987">
        <f t="shared" si="27"/>
        <v>4</v>
      </c>
      <c r="W6" s="987">
        <f t="shared" si="28"/>
        <v>5</v>
      </c>
      <c r="X6" s="987">
        <f t="shared" si="29"/>
        <v>6</v>
      </c>
      <c r="Y6" s="987">
        <f t="shared" si="30"/>
        <v>7</v>
      </c>
      <c r="Z6" s="987">
        <f t="shared" si="31"/>
        <v>0</v>
      </c>
      <c r="AA6" s="989">
        <f t="shared" si="32"/>
        <v>7</v>
      </c>
      <c r="AB6" s="160">
        <v>-54</v>
      </c>
      <c r="AC6" s="979">
        <f>RANK(AE6,$AE$3:$AE$42)+COUNTIF(AE$3:AE6,AE6)-1</f>
        <v>2</v>
      </c>
      <c r="AD6" s="990">
        <f>SUM((100-Draw!C6)/1000)+(AA6/100000)</f>
        <v>9.6070000000000003E-2</v>
      </c>
      <c r="AE6" s="167">
        <f t="shared" si="33"/>
        <v>105.09607</v>
      </c>
      <c r="AF6" s="168" t="str">
        <f>Draw!B6</f>
        <v>Igor Kononov</v>
      </c>
      <c r="AG6" s="169">
        <f t="shared" si="34"/>
        <v>15</v>
      </c>
      <c r="AH6" s="169">
        <f t="shared" si="35"/>
        <v>12</v>
      </c>
      <c r="AI6" s="169">
        <f t="shared" si="36"/>
        <v>20</v>
      </c>
      <c r="AJ6" s="169">
        <f t="shared" si="37"/>
        <v>21</v>
      </c>
      <c r="AK6" s="169">
        <f t="shared" si="38"/>
        <v>15</v>
      </c>
      <c r="AL6" s="169">
        <f t="shared" si="39"/>
        <v>8</v>
      </c>
      <c r="AM6" s="169">
        <f t="shared" si="40"/>
        <v>14</v>
      </c>
      <c r="AN6" s="169" t="str">
        <f t="shared" si="41"/>
        <v/>
      </c>
      <c r="AO6" s="169" t="str">
        <f t="shared" si="42"/>
        <v/>
      </c>
      <c r="AP6" s="169" t="str">
        <f t="shared" si="43"/>
        <v/>
      </c>
      <c r="AQ6" s="169" t="str">
        <f t="shared" si="44"/>
        <v/>
      </c>
      <c r="AR6" s="480" t="str">
        <f t="shared" si="45"/>
        <v/>
      </c>
      <c r="AS6" s="139">
        <f t="shared" si="3"/>
        <v>105</v>
      </c>
      <c r="AT6" s="397">
        <f t="shared" si="46"/>
        <v>5</v>
      </c>
      <c r="AU6" s="397"/>
      <c r="AV6" s="613" t="s">
        <v>307</v>
      </c>
      <c r="AW6" s="614">
        <v>15</v>
      </c>
      <c r="AX6" s="613" t="s">
        <v>306</v>
      </c>
      <c r="AY6" s="615">
        <v>11</v>
      </c>
      <c r="AZ6" s="583" t="s">
        <v>362</v>
      </c>
      <c r="BA6" s="578">
        <v>12</v>
      </c>
      <c r="BB6" s="583" t="s">
        <v>307</v>
      </c>
      <c r="BC6" s="578">
        <v>16</v>
      </c>
      <c r="BD6" s="583" t="s">
        <v>305</v>
      </c>
      <c r="BE6" s="578">
        <v>16</v>
      </c>
      <c r="BF6" s="583" t="s">
        <v>254</v>
      </c>
      <c r="BG6" s="578">
        <v>11</v>
      </c>
      <c r="BH6" s="583" t="str">
        <f>IF('Day 1'!$I$8&lt;&gt;BH$2,"",IF('Day 1'!$BE15="","",'Day 1'!$BE15))</f>
        <v>Igor Kononov</v>
      </c>
      <c r="BI6" s="578">
        <f>IF(BH6="","",'Day 1'!$BF15)</f>
        <v>14</v>
      </c>
      <c r="BJ6" s="583" t="str">
        <f>IF('Day 2'!$I$8&lt;&gt;BJ$2,"",IF('Day 2'!$BE15="","",'Day 2'!$BE15))</f>
        <v/>
      </c>
      <c r="BK6" s="578" t="str">
        <f>IF(BJ6="","",'Day 2'!$BF15)</f>
        <v/>
      </c>
      <c r="BL6" s="583" t="str">
        <f>IF('Day 1'!$I$8&lt;&gt;BL$2,"",IF('Day 1'!$BE15="","",'Day 1'!$BE15))</f>
        <v/>
      </c>
      <c r="BM6" s="578" t="str">
        <f>IF(BL6="","",'Day 1'!$BF15)</f>
        <v/>
      </c>
      <c r="BN6" s="583" t="str">
        <f>IF('Day 2'!$I$8&lt;&gt;BN$2,"",IF('Day 2'!$BE15="","",'Day 2'!$BE15))</f>
        <v/>
      </c>
      <c r="BO6" s="578" t="str">
        <f>IF(BN6="","",'Day 2'!$BF15)</f>
        <v/>
      </c>
      <c r="BP6" s="583" t="str">
        <f>IF('Day 1'!$I$8&lt;&gt;BP$2,"",IF('Day 1'!$BE15="","",'Day 1'!$BE15))</f>
        <v/>
      </c>
      <c r="BQ6" s="578" t="str">
        <f>IF(BP6="","",'Day 1'!$BF15)</f>
        <v/>
      </c>
      <c r="BR6" s="583" t="str">
        <f>IF('Day 2'!$I$8&lt;&gt;BR$2,"",IF('Day 2'!$BE15="","",'Day 2'!$BE15))</f>
        <v/>
      </c>
      <c r="BS6" s="578" t="str">
        <f>IF(BR6="","",'Day 2'!$BF15)</f>
        <v/>
      </c>
      <c r="BU6" s="836">
        <f t="shared" si="47"/>
        <v>1</v>
      </c>
      <c r="BV6" s="836">
        <f t="shared" si="4"/>
        <v>1</v>
      </c>
      <c r="BW6" s="836">
        <f t="shared" si="5"/>
        <v>1</v>
      </c>
      <c r="BX6" s="836">
        <f t="shared" si="6"/>
        <v>1</v>
      </c>
      <c r="BY6" s="836">
        <f t="shared" si="7"/>
        <v>1</v>
      </c>
      <c r="BZ6" s="836">
        <f t="shared" si="48"/>
        <v>1</v>
      </c>
      <c r="CA6" s="836">
        <f t="shared" si="49"/>
        <v>1</v>
      </c>
      <c r="CB6" s="836">
        <f t="shared" si="50"/>
        <v>0</v>
      </c>
      <c r="CC6" s="836">
        <f t="shared" si="8"/>
        <v>0</v>
      </c>
      <c r="CD6" s="836">
        <f t="shared" si="9"/>
        <v>0</v>
      </c>
      <c r="CE6" s="836">
        <f t="shared" si="10"/>
        <v>0</v>
      </c>
      <c r="CF6" s="836">
        <f t="shared" si="11"/>
        <v>0</v>
      </c>
    </row>
    <row r="7" spans="1:84">
      <c r="A7" s="847">
        <v>5</v>
      </c>
      <c r="B7" s="848" t="e">
        <f>SUMIF(#REF!,D7,#REF!)</f>
        <v>#REF!</v>
      </c>
      <c r="C7" s="849">
        <f>SUMIF(Draw!$B$3:$B$42,D7,Draw!$C$3:$C$42)</f>
        <v>11</v>
      </c>
      <c r="D7" s="850" t="str">
        <f t="shared" si="12"/>
        <v>Vitaly Khomitsevich</v>
      </c>
      <c r="E7" s="964">
        <f t="shared" si="13"/>
        <v>90</v>
      </c>
      <c r="F7" s="851">
        <f t="shared" si="14"/>
        <v>16</v>
      </c>
      <c r="G7" s="852">
        <f t="shared" si="15"/>
        <v>12</v>
      </c>
      <c r="H7" s="851">
        <f t="shared" si="16"/>
        <v>12</v>
      </c>
      <c r="I7" s="852">
        <f t="shared" si="17"/>
        <v>12</v>
      </c>
      <c r="J7" s="851">
        <f t="shared" si="18"/>
        <v>16</v>
      </c>
      <c r="K7" s="852">
        <f t="shared" si="19"/>
        <v>10</v>
      </c>
      <c r="L7" s="851">
        <f t="shared" si="20"/>
        <v>12</v>
      </c>
      <c r="M7" s="852" t="str">
        <f t="shared" si="21"/>
        <v/>
      </c>
      <c r="N7" s="851" t="str">
        <f t="shared" si="22"/>
        <v/>
      </c>
      <c r="O7" s="852" t="str">
        <f t="shared" si="1"/>
        <v/>
      </c>
      <c r="P7" s="851" t="str">
        <f t="shared" si="2"/>
        <v/>
      </c>
      <c r="Q7" s="852" t="str">
        <f t="shared" si="23"/>
        <v/>
      </c>
      <c r="S7" s="987">
        <f t="shared" si="24"/>
        <v>1</v>
      </c>
      <c r="T7" s="987">
        <f t="shared" si="25"/>
        <v>2</v>
      </c>
      <c r="U7" s="987">
        <f t="shared" si="26"/>
        <v>3</v>
      </c>
      <c r="V7" s="987">
        <f t="shared" si="27"/>
        <v>4</v>
      </c>
      <c r="W7" s="987">
        <f t="shared" si="28"/>
        <v>5</v>
      </c>
      <c r="X7" s="987">
        <f t="shared" si="29"/>
        <v>6</v>
      </c>
      <c r="Y7" s="987">
        <f t="shared" si="30"/>
        <v>7</v>
      </c>
      <c r="Z7" s="987">
        <f t="shared" si="31"/>
        <v>0</v>
      </c>
      <c r="AA7" s="989">
        <f t="shared" si="32"/>
        <v>7</v>
      </c>
      <c r="AB7" s="160">
        <v>-55</v>
      </c>
      <c r="AC7" s="979">
        <f>RANK(AE7,$AE$3:$AE$42)+COUNTIF(AE$3:AE7,AE7)-1</f>
        <v>8</v>
      </c>
      <c r="AD7" s="990">
        <f>SUM((100-Draw!C7)/1000)+(AA7/100000)</f>
        <v>9.5070000000000002E-2</v>
      </c>
      <c r="AE7" s="167">
        <f t="shared" si="33"/>
        <v>47.09507</v>
      </c>
      <c r="AF7" s="168" t="str">
        <f>Draw!B7</f>
        <v>Stefan Svensson</v>
      </c>
      <c r="AG7" s="169">
        <f t="shared" si="34"/>
        <v>3</v>
      </c>
      <c r="AH7" s="169">
        <f t="shared" si="35"/>
        <v>3</v>
      </c>
      <c r="AI7" s="169">
        <f t="shared" si="36"/>
        <v>9</v>
      </c>
      <c r="AJ7" s="169">
        <f t="shared" si="37"/>
        <v>8</v>
      </c>
      <c r="AK7" s="169">
        <f t="shared" si="38"/>
        <v>8</v>
      </c>
      <c r="AL7" s="169">
        <f t="shared" si="39"/>
        <v>8</v>
      </c>
      <c r="AM7" s="169">
        <f t="shared" si="40"/>
        <v>8</v>
      </c>
      <c r="AN7" s="169" t="str">
        <f t="shared" si="41"/>
        <v/>
      </c>
      <c r="AO7" s="169" t="str">
        <f t="shared" si="42"/>
        <v/>
      </c>
      <c r="AP7" s="169" t="str">
        <f t="shared" si="43"/>
        <v/>
      </c>
      <c r="AQ7" s="169" t="str">
        <f t="shared" si="44"/>
        <v/>
      </c>
      <c r="AR7" s="480" t="str">
        <f t="shared" si="45"/>
        <v/>
      </c>
      <c r="AS7" s="139">
        <f t="shared" si="3"/>
        <v>47</v>
      </c>
      <c r="AT7" s="397">
        <f t="shared" si="46"/>
        <v>5</v>
      </c>
      <c r="AU7" s="397"/>
      <c r="AV7" s="616" t="s">
        <v>302</v>
      </c>
      <c r="AW7" s="617">
        <v>15</v>
      </c>
      <c r="AX7" s="616" t="s">
        <v>302</v>
      </c>
      <c r="AY7" s="618">
        <v>12</v>
      </c>
      <c r="AZ7" s="584" t="s">
        <v>305</v>
      </c>
      <c r="BA7" s="579">
        <v>12</v>
      </c>
      <c r="BB7" s="584" t="s">
        <v>254</v>
      </c>
      <c r="BC7" s="579">
        <v>12</v>
      </c>
      <c r="BD7" s="584" t="s">
        <v>302</v>
      </c>
      <c r="BE7" s="579">
        <v>15</v>
      </c>
      <c r="BF7" s="584" t="s">
        <v>305</v>
      </c>
      <c r="BG7" s="579">
        <v>10</v>
      </c>
      <c r="BH7" s="584" t="str">
        <f>IF('Day 1'!$I$8&lt;&gt;BH$2,"",IF('Day 1'!$BE16="","",'Day 1'!$BE16))</f>
        <v>Vitaly Khomitsevich</v>
      </c>
      <c r="BI7" s="579">
        <f>IF(BH7="","",'Day 1'!$BF16)</f>
        <v>12</v>
      </c>
      <c r="BJ7" s="584" t="str">
        <f>IF('Day 2'!$I$8&lt;&gt;BJ$2,"",IF('Day 2'!$BE16="","",'Day 2'!$BE16))</f>
        <v/>
      </c>
      <c r="BK7" s="579" t="str">
        <f>IF(BJ7="","",'Day 2'!$BF16)</f>
        <v/>
      </c>
      <c r="BL7" s="584" t="str">
        <f>IF('Day 1'!$I$8&lt;&gt;BL$2,"",IF('Day 1'!$BE16="","",'Day 1'!$BE16))</f>
        <v/>
      </c>
      <c r="BM7" s="579" t="str">
        <f>IF(BL7="","",'Day 1'!$BF16)</f>
        <v/>
      </c>
      <c r="BN7" s="584" t="str">
        <f>IF('Day 2'!$I$8&lt;&gt;BN$2,"",IF('Day 2'!$BE16="","",'Day 2'!$BE16))</f>
        <v/>
      </c>
      <c r="BO7" s="579" t="str">
        <f>IF(BN7="","",'Day 2'!$BF16)</f>
        <v/>
      </c>
      <c r="BP7" s="584" t="str">
        <f>IF('Day 1'!$I$8&lt;&gt;BP$2,"",IF('Day 1'!$BE16="","",'Day 1'!$BE16))</f>
        <v/>
      </c>
      <c r="BQ7" s="579" t="str">
        <f>IF(BP7="","",'Day 1'!$BF16)</f>
        <v/>
      </c>
      <c r="BR7" s="584" t="str">
        <f>IF('Day 2'!$I$8&lt;&gt;BR$2,"",IF('Day 2'!$BE16="","",'Day 2'!$BE16))</f>
        <v/>
      </c>
      <c r="BS7" s="579" t="str">
        <f>IF(BR7="","",'Day 2'!$BF16)</f>
        <v/>
      </c>
      <c r="BU7" s="836">
        <f t="shared" si="47"/>
        <v>1</v>
      </c>
      <c r="BV7" s="836">
        <f t="shared" si="4"/>
        <v>1</v>
      </c>
      <c r="BW7" s="836">
        <f t="shared" si="5"/>
        <v>1</v>
      </c>
      <c r="BX7" s="836">
        <f t="shared" si="6"/>
        <v>1</v>
      </c>
      <c r="BY7" s="836">
        <f t="shared" si="7"/>
        <v>1</v>
      </c>
      <c r="BZ7" s="836">
        <f t="shared" si="48"/>
        <v>1</v>
      </c>
      <c r="CA7" s="836">
        <f t="shared" si="49"/>
        <v>1</v>
      </c>
      <c r="CB7" s="836">
        <f t="shared" si="50"/>
        <v>0</v>
      </c>
      <c r="CC7" s="836">
        <f t="shared" si="8"/>
        <v>0</v>
      </c>
      <c r="CD7" s="836">
        <f t="shared" si="9"/>
        <v>0</v>
      </c>
      <c r="CE7" s="836">
        <f t="shared" si="10"/>
        <v>0</v>
      </c>
      <c r="CF7" s="836">
        <f t="shared" si="11"/>
        <v>0</v>
      </c>
    </row>
    <row r="8" spans="1:84">
      <c r="A8" s="847">
        <v>6</v>
      </c>
      <c r="B8" s="848" t="e">
        <f>SUMIF(#REF!,D8,#REF!)</f>
        <v>#REF!</v>
      </c>
      <c r="C8" s="849">
        <f>SUMIF(Draw!$B$3:$B$42,D8,Draw!$C$3:$C$42)</f>
        <v>10</v>
      </c>
      <c r="D8" s="850" t="str">
        <f t="shared" si="12"/>
        <v>Franz Zorn</v>
      </c>
      <c r="E8" s="964">
        <f t="shared" si="13"/>
        <v>74</v>
      </c>
      <c r="F8" s="851">
        <f t="shared" si="14"/>
        <v>9</v>
      </c>
      <c r="G8" s="852">
        <f t="shared" si="15"/>
        <v>8</v>
      </c>
      <c r="H8" s="851">
        <f t="shared" si="16"/>
        <v>11</v>
      </c>
      <c r="I8" s="852">
        <f t="shared" si="17"/>
        <v>12</v>
      </c>
      <c r="J8" s="851">
        <f t="shared" si="18"/>
        <v>12</v>
      </c>
      <c r="K8" s="852">
        <f t="shared" si="19"/>
        <v>11</v>
      </c>
      <c r="L8" s="851">
        <f t="shared" si="20"/>
        <v>11</v>
      </c>
      <c r="M8" s="852" t="str">
        <f t="shared" si="21"/>
        <v/>
      </c>
      <c r="N8" s="851" t="str">
        <f t="shared" si="22"/>
        <v/>
      </c>
      <c r="O8" s="852" t="str">
        <f t="shared" si="1"/>
        <v/>
      </c>
      <c r="P8" s="851" t="str">
        <f t="shared" si="2"/>
        <v/>
      </c>
      <c r="Q8" s="852" t="str">
        <f t="shared" si="23"/>
        <v/>
      </c>
      <c r="S8" s="987">
        <f t="shared" si="24"/>
        <v>1</v>
      </c>
      <c r="T8" s="987">
        <f t="shared" si="25"/>
        <v>2</v>
      </c>
      <c r="U8" s="987">
        <f t="shared" si="26"/>
        <v>3</v>
      </c>
      <c r="V8" s="987">
        <f t="shared" si="27"/>
        <v>4</v>
      </c>
      <c r="W8" s="987">
        <f t="shared" si="28"/>
        <v>5</v>
      </c>
      <c r="X8" s="987">
        <f t="shared" si="29"/>
        <v>6</v>
      </c>
      <c r="Y8" s="987">
        <f t="shared" si="30"/>
        <v>7</v>
      </c>
      <c r="Z8" s="987">
        <f t="shared" si="31"/>
        <v>0</v>
      </c>
      <c r="AA8" s="989">
        <f t="shared" si="32"/>
        <v>7</v>
      </c>
      <c r="AB8" s="160">
        <v>-56</v>
      </c>
      <c r="AC8" s="979">
        <f>RANK(AE8,$AE$3:$AE$42)+COUNTIF(AE$3:AE8,AE8)-1</f>
        <v>10</v>
      </c>
      <c r="AD8" s="990">
        <f>SUM((100-Draw!C8)/1000)+(AA8/100000)</f>
        <v>9.4070000000000001E-2</v>
      </c>
      <c r="AE8" s="167">
        <f t="shared" si="33"/>
        <v>42.094070000000002</v>
      </c>
      <c r="AF8" s="168" t="str">
        <f>Draw!B8</f>
        <v>Jan Klatovsky</v>
      </c>
      <c r="AG8" s="169">
        <f t="shared" si="34"/>
        <v>8</v>
      </c>
      <c r="AH8" s="169">
        <f t="shared" si="35"/>
        <v>8</v>
      </c>
      <c r="AI8" s="169">
        <f t="shared" si="36"/>
        <v>5</v>
      </c>
      <c r="AJ8" s="169">
        <f t="shared" si="37"/>
        <v>3</v>
      </c>
      <c r="AK8" s="169">
        <f t="shared" si="38"/>
        <v>7</v>
      </c>
      <c r="AL8" s="169">
        <f t="shared" si="39"/>
        <v>7</v>
      </c>
      <c r="AM8" s="169">
        <f t="shared" si="40"/>
        <v>4</v>
      </c>
      <c r="AN8" s="169" t="str">
        <f t="shared" si="41"/>
        <v/>
      </c>
      <c r="AO8" s="169" t="str">
        <f t="shared" si="42"/>
        <v/>
      </c>
      <c r="AP8" s="169" t="str">
        <f t="shared" si="43"/>
        <v/>
      </c>
      <c r="AQ8" s="169" t="str">
        <f t="shared" si="44"/>
        <v/>
      </c>
      <c r="AR8" s="480" t="str">
        <f t="shared" si="45"/>
        <v/>
      </c>
      <c r="AS8" s="139">
        <f t="shared" si="3"/>
        <v>42</v>
      </c>
      <c r="AT8" s="397">
        <f t="shared" si="46"/>
        <v>5</v>
      </c>
      <c r="AU8" s="397"/>
      <c r="AV8" s="610" t="s">
        <v>306</v>
      </c>
      <c r="AW8" s="611">
        <v>11</v>
      </c>
      <c r="AX8" s="610" t="s">
        <v>305</v>
      </c>
      <c r="AY8" s="612">
        <v>12</v>
      </c>
      <c r="AZ8" s="582" t="s">
        <v>254</v>
      </c>
      <c r="BA8" s="577">
        <v>11</v>
      </c>
      <c r="BB8" s="582" t="s">
        <v>306</v>
      </c>
      <c r="BC8" s="577">
        <v>12</v>
      </c>
      <c r="BD8" s="582" t="s">
        <v>306</v>
      </c>
      <c r="BE8" s="577">
        <v>14</v>
      </c>
      <c r="BF8" s="582" t="s">
        <v>302</v>
      </c>
      <c r="BG8" s="577">
        <v>8</v>
      </c>
      <c r="BH8" s="582" t="str">
        <f>IF('Day 1'!$I$8&lt;&gt;BH$2,"",IF('Day 1'!$BE17="","",'Day 1'!$BE17))</f>
        <v>Franz Zorn</v>
      </c>
      <c r="BI8" s="577">
        <f>IF(BH8="","",'Day 1'!$BF17)</f>
        <v>11</v>
      </c>
      <c r="BJ8" s="582" t="str">
        <f>IF('Day 2'!$I$8&lt;&gt;BJ$2,"",IF('Day 2'!$BE17="","",'Day 2'!$BE17))</f>
        <v/>
      </c>
      <c r="BK8" s="577" t="str">
        <f>IF(BJ8="","",'Day 2'!$BF17)</f>
        <v/>
      </c>
      <c r="BL8" s="582" t="str">
        <f>IF('Day 1'!$I$8&lt;&gt;BL$2,"",IF('Day 1'!$BE17="","",'Day 1'!$BE17))</f>
        <v/>
      </c>
      <c r="BM8" s="577" t="str">
        <f>IF(BL8="","",'Day 1'!$BF17)</f>
        <v/>
      </c>
      <c r="BN8" s="582" t="str">
        <f>IF('Day 2'!$I$8&lt;&gt;BN$2,"",IF('Day 2'!$BE17="","",'Day 2'!$BE17))</f>
        <v/>
      </c>
      <c r="BO8" s="577" t="str">
        <f>IF(BN8="","",'Day 2'!$BF17)</f>
        <v/>
      </c>
      <c r="BP8" s="582" t="str">
        <f>IF('Day 1'!$I$8&lt;&gt;BP$2,"",IF('Day 1'!$BE17="","",'Day 1'!$BE17))</f>
        <v/>
      </c>
      <c r="BQ8" s="577" t="str">
        <f>IF(BP8="","",'Day 1'!$BF17)</f>
        <v/>
      </c>
      <c r="BR8" s="582" t="str">
        <f>IF('Day 2'!$I$8&lt;&gt;BR$2,"",IF('Day 2'!$BE17="","",'Day 2'!$BE17))</f>
        <v/>
      </c>
      <c r="BS8" s="577" t="str">
        <f>IF(BR8="","",'Day 2'!$BF17)</f>
        <v/>
      </c>
      <c r="BU8" s="836">
        <f t="shared" si="47"/>
        <v>1</v>
      </c>
      <c r="BV8" s="836">
        <f t="shared" si="4"/>
        <v>1</v>
      </c>
      <c r="BW8" s="836">
        <f t="shared" si="5"/>
        <v>1</v>
      </c>
      <c r="BX8" s="836">
        <f t="shared" si="6"/>
        <v>1</v>
      </c>
      <c r="BY8" s="836">
        <f t="shared" si="7"/>
        <v>1</v>
      </c>
      <c r="BZ8" s="836">
        <f t="shared" si="48"/>
        <v>1</v>
      </c>
      <c r="CA8" s="836">
        <f t="shared" si="49"/>
        <v>1</v>
      </c>
      <c r="CB8" s="836">
        <f t="shared" si="50"/>
        <v>0</v>
      </c>
      <c r="CC8" s="836">
        <f t="shared" si="8"/>
        <v>0</v>
      </c>
      <c r="CD8" s="836">
        <f t="shared" si="9"/>
        <v>0</v>
      </c>
      <c r="CE8" s="836">
        <f t="shared" si="10"/>
        <v>0</v>
      </c>
      <c r="CF8" s="836">
        <f t="shared" si="11"/>
        <v>0</v>
      </c>
    </row>
    <row r="9" spans="1:84">
      <c r="A9" s="847">
        <v>7</v>
      </c>
      <c r="B9" s="848" t="e">
        <f>SUMIF(#REF!,D9,#REF!)</f>
        <v>#REF!</v>
      </c>
      <c r="C9" s="849">
        <f>SUMIF(Draw!$B$3:$B$42,D9,Draw!$C$3:$C$42)</f>
        <v>15</v>
      </c>
      <c r="D9" s="850" t="str">
        <f t="shared" si="12"/>
        <v>Harald Simon</v>
      </c>
      <c r="E9" s="964">
        <f t="shared" si="13"/>
        <v>50</v>
      </c>
      <c r="F9" s="851">
        <f t="shared" si="14"/>
        <v>6</v>
      </c>
      <c r="G9" s="852">
        <f t="shared" si="15"/>
        <v>8</v>
      </c>
      <c r="H9" s="851">
        <f t="shared" si="16"/>
        <v>8</v>
      </c>
      <c r="I9" s="852">
        <f t="shared" si="17"/>
        <v>8</v>
      </c>
      <c r="J9" s="851">
        <f t="shared" si="18"/>
        <v>8</v>
      </c>
      <c r="K9" s="852">
        <f t="shared" si="19"/>
        <v>8</v>
      </c>
      <c r="L9" s="851">
        <f t="shared" si="20"/>
        <v>4</v>
      </c>
      <c r="M9" s="852" t="str">
        <f t="shared" si="21"/>
        <v/>
      </c>
      <c r="N9" s="851" t="str">
        <f t="shared" si="22"/>
        <v/>
      </c>
      <c r="O9" s="852" t="str">
        <f t="shared" si="1"/>
        <v/>
      </c>
      <c r="P9" s="851" t="str">
        <f t="shared" si="2"/>
        <v/>
      </c>
      <c r="Q9" s="852" t="str">
        <f t="shared" si="23"/>
        <v/>
      </c>
      <c r="S9" s="987">
        <f t="shared" si="24"/>
        <v>1</v>
      </c>
      <c r="T9" s="987">
        <f t="shared" si="25"/>
        <v>2</v>
      </c>
      <c r="U9" s="987">
        <f t="shared" si="26"/>
        <v>3</v>
      </c>
      <c r="V9" s="987">
        <f t="shared" si="27"/>
        <v>4</v>
      </c>
      <c r="W9" s="987">
        <f t="shared" si="28"/>
        <v>5</v>
      </c>
      <c r="X9" s="987">
        <f t="shared" si="29"/>
        <v>6</v>
      </c>
      <c r="Y9" s="987">
        <f t="shared" si="30"/>
        <v>7</v>
      </c>
      <c r="Z9" s="987">
        <f t="shared" si="31"/>
        <v>0</v>
      </c>
      <c r="AA9" s="989">
        <f t="shared" si="32"/>
        <v>7</v>
      </c>
      <c r="AB9" s="160">
        <v>-57</v>
      </c>
      <c r="AC9" s="979">
        <f>RANK(AE9,$AE$3:$AE$42)+COUNTIF(AE$3:AE9,AE9)-1</f>
        <v>12</v>
      </c>
      <c r="AD9" s="990">
        <f>SUM((100-Draw!C9)/1000)+(AA9/100000)</f>
        <v>9.307E-2</v>
      </c>
      <c r="AE9" s="167">
        <f t="shared" si="33"/>
        <v>36.093069999999997</v>
      </c>
      <c r="AF9" s="168" t="str">
        <f>Draw!B9</f>
        <v>Gunter Bauer</v>
      </c>
      <c r="AG9" s="169">
        <f t="shared" si="34"/>
        <v>3</v>
      </c>
      <c r="AH9" s="169">
        <f t="shared" si="35"/>
        <v>6</v>
      </c>
      <c r="AI9" s="169">
        <f t="shared" si="36"/>
        <v>2</v>
      </c>
      <c r="AJ9" s="169">
        <f t="shared" si="37"/>
        <v>4</v>
      </c>
      <c r="AK9" s="169">
        <f t="shared" si="38"/>
        <v>4</v>
      </c>
      <c r="AL9" s="169">
        <f t="shared" si="39"/>
        <v>8</v>
      </c>
      <c r="AM9" s="169">
        <f t="shared" si="40"/>
        <v>9</v>
      </c>
      <c r="AN9" s="169" t="str">
        <f t="shared" si="41"/>
        <v/>
      </c>
      <c r="AO9" s="169" t="str">
        <f t="shared" si="42"/>
        <v/>
      </c>
      <c r="AP9" s="169" t="str">
        <f t="shared" si="43"/>
        <v/>
      </c>
      <c r="AQ9" s="169" t="str">
        <f t="shared" si="44"/>
        <v/>
      </c>
      <c r="AR9" s="480" t="str">
        <f t="shared" si="45"/>
        <v/>
      </c>
      <c r="AS9" s="139">
        <f t="shared" si="3"/>
        <v>36</v>
      </c>
      <c r="AT9" s="397">
        <f t="shared" si="46"/>
        <v>5</v>
      </c>
      <c r="AU9" s="397"/>
      <c r="AV9" s="619" t="s">
        <v>254</v>
      </c>
      <c r="AW9" s="611">
        <v>9</v>
      </c>
      <c r="AX9" s="619" t="s">
        <v>254</v>
      </c>
      <c r="AY9" s="612">
        <v>8</v>
      </c>
      <c r="AZ9" s="585" t="s">
        <v>255</v>
      </c>
      <c r="BA9" s="577">
        <v>9</v>
      </c>
      <c r="BB9" s="585" t="s">
        <v>255</v>
      </c>
      <c r="BC9" s="577">
        <v>8</v>
      </c>
      <c r="BD9" s="585" t="s">
        <v>304</v>
      </c>
      <c r="BE9" s="577">
        <v>8</v>
      </c>
      <c r="BF9" s="585" t="s">
        <v>255</v>
      </c>
      <c r="BG9" s="577">
        <v>8</v>
      </c>
      <c r="BH9" s="585" t="str">
        <f>IF('Day 1'!$I$8&lt;&gt;BH$2,"",IF('Day 1'!$BE18="","",'Day 1'!$BE18))</f>
        <v>Gunter Bauer</v>
      </c>
      <c r="BI9" s="577">
        <f>IF(BH9="","",'Day 1'!$BF18)</f>
        <v>9</v>
      </c>
      <c r="BJ9" s="585" t="str">
        <f>IF('Day 2'!$I$8&lt;&gt;BJ$2,"",IF('Day 2'!$BE18="","",'Day 2'!$BE18))</f>
        <v/>
      </c>
      <c r="BK9" s="577" t="str">
        <f>IF(BJ9="","",'Day 2'!$BF18)</f>
        <v/>
      </c>
      <c r="BL9" s="585" t="str">
        <f>IF('Day 1'!$I$8&lt;&gt;BL$2,"",IF('Day 1'!$BE18="","",'Day 1'!$BE18))</f>
        <v/>
      </c>
      <c r="BM9" s="577" t="str">
        <f>IF(BL9="","",'Day 1'!$BF18)</f>
        <v/>
      </c>
      <c r="BN9" s="585" t="str">
        <f>IF('Day 2'!$I$8&lt;&gt;BN$2,"",IF('Day 2'!$BE18="","",'Day 2'!$BE18))</f>
        <v/>
      </c>
      <c r="BO9" s="577" t="str">
        <f>IF(BN9="","",'Day 2'!$BF18)</f>
        <v/>
      </c>
      <c r="BP9" s="585" t="str">
        <f>IF('Day 1'!$I$8&lt;&gt;BP$2,"",IF('Day 1'!$BE18="","",'Day 1'!$BE18))</f>
        <v/>
      </c>
      <c r="BQ9" s="577" t="str">
        <f>IF(BP9="","",'Day 1'!$BF18)</f>
        <v/>
      </c>
      <c r="BR9" s="585" t="str">
        <f>IF('Day 2'!$I$8&lt;&gt;BR$2,"",IF('Day 2'!$BE18="","",'Day 2'!$BE18))</f>
        <v/>
      </c>
      <c r="BS9" s="577" t="str">
        <f>IF(BR9="","",'Day 2'!$BF18)</f>
        <v/>
      </c>
      <c r="BU9" s="836">
        <f t="shared" si="47"/>
        <v>1</v>
      </c>
      <c r="BV9" s="836">
        <f t="shared" si="4"/>
        <v>1</v>
      </c>
      <c r="BW9" s="836">
        <f t="shared" si="5"/>
        <v>1</v>
      </c>
      <c r="BX9" s="836">
        <f t="shared" si="6"/>
        <v>1</v>
      </c>
      <c r="BY9" s="836">
        <f t="shared" si="7"/>
        <v>1</v>
      </c>
      <c r="BZ9" s="836">
        <f t="shared" si="48"/>
        <v>1</v>
      </c>
      <c r="CA9" s="836">
        <f t="shared" si="49"/>
        <v>1</v>
      </c>
      <c r="CB9" s="836">
        <f t="shared" si="50"/>
        <v>0</v>
      </c>
      <c r="CC9" s="836">
        <f t="shared" si="8"/>
        <v>0</v>
      </c>
      <c r="CD9" s="836">
        <f t="shared" si="9"/>
        <v>0</v>
      </c>
      <c r="CE9" s="836">
        <f t="shared" si="10"/>
        <v>0</v>
      </c>
      <c r="CF9" s="836">
        <f t="shared" si="11"/>
        <v>0</v>
      </c>
    </row>
    <row r="10" spans="1:84" ht="13.5" thickBot="1">
      <c r="A10" s="853">
        <v>8</v>
      </c>
      <c r="B10" s="854" t="e">
        <f>SUMIF(#REF!,D10,#REF!)</f>
        <v>#REF!</v>
      </c>
      <c r="C10" s="855">
        <f>SUMIF(Draw!$B$3:$B$42,D10,Draw!$C$3:$C$42)</f>
        <v>5</v>
      </c>
      <c r="D10" s="856" t="str">
        <f t="shared" si="12"/>
        <v>Stefan Svensson</v>
      </c>
      <c r="E10" s="965">
        <f t="shared" si="13"/>
        <v>47</v>
      </c>
      <c r="F10" s="857">
        <f t="shared" si="14"/>
        <v>3</v>
      </c>
      <c r="G10" s="858">
        <f t="shared" si="15"/>
        <v>3</v>
      </c>
      <c r="H10" s="857">
        <f t="shared" si="16"/>
        <v>9</v>
      </c>
      <c r="I10" s="858">
        <f t="shared" si="17"/>
        <v>8</v>
      </c>
      <c r="J10" s="857">
        <f t="shared" si="18"/>
        <v>8</v>
      </c>
      <c r="K10" s="858">
        <f t="shared" si="19"/>
        <v>8</v>
      </c>
      <c r="L10" s="857">
        <f t="shared" si="20"/>
        <v>8</v>
      </c>
      <c r="M10" s="858" t="str">
        <f t="shared" si="21"/>
        <v/>
      </c>
      <c r="N10" s="857" t="str">
        <f t="shared" si="22"/>
        <v/>
      </c>
      <c r="O10" s="858" t="str">
        <f t="shared" si="1"/>
        <v/>
      </c>
      <c r="P10" s="857" t="str">
        <f t="shared" si="2"/>
        <v/>
      </c>
      <c r="Q10" s="858" t="str">
        <f t="shared" si="23"/>
        <v/>
      </c>
      <c r="S10" s="987">
        <f t="shared" si="24"/>
        <v>1</v>
      </c>
      <c r="T10" s="987">
        <f t="shared" si="25"/>
        <v>2</v>
      </c>
      <c r="U10" s="987">
        <f t="shared" si="26"/>
        <v>3</v>
      </c>
      <c r="V10" s="987">
        <f t="shared" si="27"/>
        <v>4</v>
      </c>
      <c r="W10" s="987">
        <f t="shared" si="28"/>
        <v>5</v>
      </c>
      <c r="X10" s="987">
        <f t="shared" si="29"/>
        <v>6</v>
      </c>
      <c r="Y10" s="987">
        <f t="shared" si="30"/>
        <v>7</v>
      </c>
      <c r="Z10" s="987">
        <f t="shared" si="31"/>
        <v>0</v>
      </c>
      <c r="AA10" s="989">
        <f t="shared" si="32"/>
        <v>7</v>
      </c>
      <c r="AB10" s="160">
        <v>-58</v>
      </c>
      <c r="AC10" s="979">
        <f>RANK(AE10,$AE$3:$AE$42)+COUNTIF(AE$3:AE10,AE10)-1</f>
        <v>16</v>
      </c>
      <c r="AD10" s="990">
        <f>SUM((100-Draw!C10)/1000)+(AA10/100000)</f>
        <v>9.2069999999999999E-2</v>
      </c>
      <c r="AE10" s="167">
        <f t="shared" si="33"/>
        <v>15.09207</v>
      </c>
      <c r="AF10" s="168" t="str">
        <f>Draw!B10</f>
        <v>Stefan Pletschacher</v>
      </c>
      <c r="AG10" s="169">
        <f t="shared" si="34"/>
        <v>2</v>
      </c>
      <c r="AH10" s="169">
        <f t="shared" si="35"/>
        <v>0</v>
      </c>
      <c r="AI10" s="169">
        <f t="shared" si="36"/>
        <v>3</v>
      </c>
      <c r="AJ10" s="169">
        <f t="shared" si="37"/>
        <v>1</v>
      </c>
      <c r="AK10" s="169">
        <f t="shared" si="38"/>
        <v>4</v>
      </c>
      <c r="AL10" s="169">
        <f t="shared" si="39"/>
        <v>3</v>
      </c>
      <c r="AM10" s="169">
        <f t="shared" si="40"/>
        <v>2</v>
      </c>
      <c r="AN10" s="169" t="str">
        <f t="shared" si="41"/>
        <v/>
      </c>
      <c r="AO10" s="169" t="str">
        <f t="shared" si="42"/>
        <v/>
      </c>
      <c r="AP10" s="169" t="str">
        <f t="shared" si="43"/>
        <v/>
      </c>
      <c r="AQ10" s="169" t="str">
        <f t="shared" si="44"/>
        <v/>
      </c>
      <c r="AR10" s="480" t="str">
        <f t="shared" si="45"/>
        <v/>
      </c>
      <c r="AS10" s="139">
        <f t="shared" si="3"/>
        <v>15</v>
      </c>
      <c r="AT10" s="397">
        <f t="shared" si="46"/>
        <v>5</v>
      </c>
      <c r="AU10" s="397"/>
      <c r="AV10" s="610" t="s">
        <v>257</v>
      </c>
      <c r="AW10" s="611">
        <v>8</v>
      </c>
      <c r="AX10" s="610" t="s">
        <v>257</v>
      </c>
      <c r="AY10" s="612">
        <v>8</v>
      </c>
      <c r="AZ10" s="582" t="s">
        <v>304</v>
      </c>
      <c r="BA10" s="577">
        <v>8</v>
      </c>
      <c r="BB10" s="582" t="s">
        <v>378</v>
      </c>
      <c r="BC10" s="577">
        <v>8</v>
      </c>
      <c r="BD10" s="582" t="s">
        <v>255</v>
      </c>
      <c r="BE10" s="577">
        <v>8</v>
      </c>
      <c r="BF10" s="582" t="s">
        <v>374</v>
      </c>
      <c r="BG10" s="577">
        <v>8</v>
      </c>
      <c r="BH10" s="582" t="str">
        <f>IF('Day 1'!$I$8&lt;&gt;BH$2,"",IF('Day 1'!$BE19="","",'Day 1'!$BE19))</f>
        <v>Stefan Svensson</v>
      </c>
      <c r="BI10" s="577">
        <f>IF(BH10="","",'Day 1'!$BF19)</f>
        <v>8</v>
      </c>
      <c r="BJ10" s="582" t="str">
        <f>IF('Day 2'!$I$8&lt;&gt;BJ$2,"",IF('Day 2'!$BE19="","",'Day 2'!$BE19))</f>
        <v/>
      </c>
      <c r="BK10" s="577" t="str">
        <f>IF(BJ10="","",'Day 2'!$BF19)</f>
        <v/>
      </c>
      <c r="BL10" s="582" t="str">
        <f>IF('Day 1'!$I$8&lt;&gt;BL$2,"",IF('Day 1'!$BE19="","",'Day 1'!$BE19))</f>
        <v/>
      </c>
      <c r="BM10" s="577" t="str">
        <f>IF(BL10="","",'Day 1'!$BF19)</f>
        <v/>
      </c>
      <c r="BN10" s="582" t="str">
        <f>IF('Day 2'!$I$8&lt;&gt;BN$2,"",IF('Day 2'!$BE19="","",'Day 2'!$BE19))</f>
        <v/>
      </c>
      <c r="BO10" s="577" t="str">
        <f>IF(BN10="","",'Day 2'!$BF19)</f>
        <v/>
      </c>
      <c r="BP10" s="582" t="str">
        <f>IF('Day 1'!$I$8&lt;&gt;BP$2,"",IF('Day 1'!$BE19="","",'Day 1'!$BE19))</f>
        <v/>
      </c>
      <c r="BQ10" s="577" t="str">
        <f>IF(BP10="","",'Day 1'!$BF19)</f>
        <v/>
      </c>
      <c r="BR10" s="582" t="str">
        <f>IF('Day 2'!$I$8&lt;&gt;BR$2,"",IF('Day 2'!$BE19="","",'Day 2'!$BE19))</f>
        <v/>
      </c>
      <c r="BS10" s="577" t="str">
        <f>IF(BR10="","",'Day 2'!$BF19)</f>
        <v/>
      </c>
      <c r="BU10" s="836">
        <f t="shared" si="47"/>
        <v>1</v>
      </c>
      <c r="BV10" s="836">
        <f t="shared" si="4"/>
        <v>1</v>
      </c>
      <c r="BW10" s="836">
        <f t="shared" si="5"/>
        <v>1</v>
      </c>
      <c r="BX10" s="836">
        <f t="shared" si="6"/>
        <v>1</v>
      </c>
      <c r="BY10" s="836">
        <f t="shared" si="7"/>
        <v>1</v>
      </c>
      <c r="BZ10" s="836">
        <f t="shared" si="48"/>
        <v>1</v>
      </c>
      <c r="CA10" s="836">
        <f t="shared" si="49"/>
        <v>1</v>
      </c>
      <c r="CB10" s="836">
        <f t="shared" si="50"/>
        <v>0</v>
      </c>
      <c r="CC10" s="836">
        <f t="shared" si="8"/>
        <v>0</v>
      </c>
      <c r="CD10" s="836">
        <f t="shared" si="9"/>
        <v>0</v>
      </c>
      <c r="CE10" s="836">
        <f t="shared" si="10"/>
        <v>0</v>
      </c>
      <c r="CF10" s="836">
        <f t="shared" si="11"/>
        <v>0</v>
      </c>
    </row>
    <row r="11" spans="1:84">
      <c r="A11" s="859">
        <v>9</v>
      </c>
      <c r="B11" s="860" t="e">
        <f>SUMIF(#REF!,D11,#REF!)</f>
        <v>#REF!</v>
      </c>
      <c r="C11" s="861">
        <f>SUMIF(Draw!$B$3:$B$42,D11,Draw!$C$3:$C$42)</f>
        <v>14</v>
      </c>
      <c r="D11" s="862" t="str">
        <f t="shared" si="12"/>
        <v>Antonin Klatovsky</v>
      </c>
      <c r="E11" s="966">
        <f t="shared" si="13"/>
        <v>43</v>
      </c>
      <c r="F11" s="863">
        <f t="shared" si="14"/>
        <v>7</v>
      </c>
      <c r="G11" s="864">
        <f t="shared" si="15"/>
        <v>8</v>
      </c>
      <c r="H11" s="863">
        <f t="shared" si="16"/>
        <v>3</v>
      </c>
      <c r="I11" s="864">
        <f t="shared" si="17"/>
        <v>6</v>
      </c>
      <c r="J11" s="863">
        <f t="shared" si="18"/>
        <v>7</v>
      </c>
      <c r="K11" s="864">
        <f t="shared" si="19"/>
        <v>7</v>
      </c>
      <c r="L11" s="863">
        <f t="shared" si="20"/>
        <v>5</v>
      </c>
      <c r="M11" s="864" t="str">
        <f t="shared" si="21"/>
        <v/>
      </c>
      <c r="N11" s="863" t="str">
        <f t="shared" si="22"/>
        <v/>
      </c>
      <c r="O11" s="864" t="str">
        <f t="shared" si="1"/>
        <v/>
      </c>
      <c r="P11" s="863" t="str">
        <f t="shared" si="2"/>
        <v/>
      </c>
      <c r="Q11" s="864" t="str">
        <f t="shared" si="23"/>
        <v/>
      </c>
      <c r="S11" s="987">
        <f t="shared" si="24"/>
        <v>1</v>
      </c>
      <c r="T11" s="987">
        <f t="shared" si="25"/>
        <v>2</v>
      </c>
      <c r="U11" s="987">
        <f t="shared" si="26"/>
        <v>3</v>
      </c>
      <c r="V11" s="987">
        <f t="shared" si="27"/>
        <v>4</v>
      </c>
      <c r="W11" s="987">
        <f t="shared" si="28"/>
        <v>5</v>
      </c>
      <c r="X11" s="987">
        <f t="shared" si="29"/>
        <v>6</v>
      </c>
      <c r="Y11" s="987">
        <f t="shared" si="30"/>
        <v>7</v>
      </c>
      <c r="Z11" s="987">
        <f t="shared" si="31"/>
        <v>0</v>
      </c>
      <c r="AA11" s="989">
        <f t="shared" si="32"/>
        <v>7</v>
      </c>
      <c r="AB11" s="160">
        <v>-59</v>
      </c>
      <c r="AC11" s="979">
        <f>RANK(AE11,$AE$3:$AE$42)+COUNTIF(AE$3:AE11,AE11)-1</f>
        <v>14</v>
      </c>
      <c r="AD11" s="990">
        <f>SUM((100-Draw!C11)/1000)+(AA11/100000)</f>
        <v>9.1069999999999998E-2</v>
      </c>
      <c r="AE11" s="167">
        <f t="shared" si="33"/>
        <v>17.091069999999998</v>
      </c>
      <c r="AF11" s="171" t="str">
        <f>Draw!B11</f>
        <v>Per-Anders Lindstrom</v>
      </c>
      <c r="AG11" s="169">
        <f t="shared" si="34"/>
        <v>0</v>
      </c>
      <c r="AH11" s="169">
        <f t="shared" si="35"/>
        <v>1</v>
      </c>
      <c r="AI11" s="169">
        <f t="shared" si="36"/>
        <v>4</v>
      </c>
      <c r="AJ11" s="169">
        <f t="shared" si="37"/>
        <v>5</v>
      </c>
      <c r="AK11" s="169">
        <f t="shared" si="38"/>
        <v>1</v>
      </c>
      <c r="AL11" s="169">
        <f t="shared" si="39"/>
        <v>4</v>
      </c>
      <c r="AM11" s="169">
        <f t="shared" si="40"/>
        <v>2</v>
      </c>
      <c r="AN11" s="169" t="str">
        <f t="shared" si="41"/>
        <v/>
      </c>
      <c r="AO11" s="169" t="str">
        <f t="shared" si="42"/>
        <v/>
      </c>
      <c r="AP11" s="169" t="str">
        <f t="shared" si="43"/>
        <v/>
      </c>
      <c r="AQ11" s="169" t="str">
        <f t="shared" si="44"/>
        <v/>
      </c>
      <c r="AR11" s="480" t="str">
        <f t="shared" si="45"/>
        <v/>
      </c>
      <c r="AS11" s="139">
        <f t="shared" si="3"/>
        <v>17</v>
      </c>
      <c r="AT11" s="397">
        <f t="shared" si="46"/>
        <v>5</v>
      </c>
      <c r="AU11" s="397"/>
      <c r="AV11" s="610" t="s">
        <v>365</v>
      </c>
      <c r="AW11" s="611">
        <v>7</v>
      </c>
      <c r="AX11" s="610" t="s">
        <v>365</v>
      </c>
      <c r="AY11" s="612">
        <v>8</v>
      </c>
      <c r="AZ11" s="582" t="s">
        <v>378</v>
      </c>
      <c r="BA11" s="577">
        <v>8</v>
      </c>
      <c r="BB11" s="582" t="s">
        <v>304</v>
      </c>
      <c r="BC11" s="577">
        <v>8</v>
      </c>
      <c r="BD11" s="582" t="s">
        <v>365</v>
      </c>
      <c r="BE11" s="577">
        <v>7</v>
      </c>
      <c r="BF11" s="582" t="s">
        <v>304</v>
      </c>
      <c r="BG11" s="577">
        <v>8</v>
      </c>
      <c r="BH11" s="582" t="str">
        <f>IF('Day 1'!$I$8&lt;&gt;BH$2,"",IF('Day 1'!$BE20="","",'Day 1'!$BE20))</f>
        <v>Hans Weber</v>
      </c>
      <c r="BI11" s="577">
        <f>IF(BH11="","",'Day 1'!$BF20)</f>
        <v>6</v>
      </c>
      <c r="BJ11" s="582" t="str">
        <f>IF('Day 2'!$I$8&lt;&gt;BJ$2,"",IF('Day 2'!$BE20="","",'Day 2'!$BE20))</f>
        <v/>
      </c>
      <c r="BK11" s="577" t="str">
        <f>IF(BJ11="","",'Day 2'!$BF20)</f>
        <v/>
      </c>
      <c r="BL11" s="582" t="str">
        <f>IF('Day 1'!$I$8&lt;&gt;BL$2,"",IF('Day 1'!$BE20="","",'Day 1'!$BE20))</f>
        <v/>
      </c>
      <c r="BM11" s="577" t="str">
        <f>IF(BL11="","",'Day 1'!$BF20)</f>
        <v/>
      </c>
      <c r="BN11" s="582" t="str">
        <f>IF('Day 2'!$I$8&lt;&gt;BN$2,"",IF('Day 2'!$BE20="","",'Day 2'!$BE20))</f>
        <v/>
      </c>
      <c r="BO11" s="577" t="str">
        <f>IF(BN11="","",'Day 2'!$BF20)</f>
        <v/>
      </c>
      <c r="BP11" s="582" t="str">
        <f>IF('Day 1'!$I$8&lt;&gt;BP$2,"",IF('Day 1'!$BE20="","",'Day 1'!$BE20))</f>
        <v/>
      </c>
      <c r="BQ11" s="577" t="str">
        <f>IF(BP11="","",'Day 1'!$BF20)</f>
        <v/>
      </c>
      <c r="BR11" s="582" t="str">
        <f>IF('Day 2'!$I$8&lt;&gt;BR$2,"",IF('Day 2'!$BE20="","",'Day 2'!$BE20))</f>
        <v/>
      </c>
      <c r="BS11" s="577" t="str">
        <f>IF(BR11="","",'Day 2'!$BF20)</f>
        <v/>
      </c>
      <c r="BU11" s="836">
        <f t="shared" si="47"/>
        <v>1</v>
      </c>
      <c r="BV11" s="836">
        <f t="shared" si="4"/>
        <v>1</v>
      </c>
      <c r="BW11" s="836">
        <f t="shared" si="5"/>
        <v>1</v>
      </c>
      <c r="BX11" s="836">
        <f t="shared" si="6"/>
        <v>1</v>
      </c>
      <c r="BY11" s="836">
        <f t="shared" si="7"/>
        <v>1</v>
      </c>
      <c r="BZ11" s="836">
        <f t="shared" si="48"/>
        <v>1</v>
      </c>
      <c r="CA11" s="836">
        <f t="shared" si="49"/>
        <v>1</v>
      </c>
      <c r="CB11" s="836">
        <f t="shared" si="50"/>
        <v>0</v>
      </c>
      <c r="CC11" s="836">
        <f t="shared" si="8"/>
        <v>0</v>
      </c>
      <c r="CD11" s="836">
        <f t="shared" si="9"/>
        <v>0</v>
      </c>
      <c r="CE11" s="836">
        <f t="shared" si="10"/>
        <v>0</v>
      </c>
      <c r="CF11" s="836">
        <f t="shared" si="11"/>
        <v>0</v>
      </c>
    </row>
    <row r="12" spans="1:84">
      <c r="A12" s="847">
        <v>10</v>
      </c>
      <c r="B12" s="848" t="e">
        <f>SUMIF(#REF!,D12,#REF!)</f>
        <v>#REF!</v>
      </c>
      <c r="C12" s="849">
        <f>SUMIF(Draw!$B$3:$B$42,D12,Draw!$C$3:$C$42)</f>
        <v>6</v>
      </c>
      <c r="D12" s="850" t="str">
        <f t="shared" si="12"/>
        <v>Jan Klatovsky</v>
      </c>
      <c r="E12" s="964">
        <f t="shared" si="13"/>
        <v>42</v>
      </c>
      <c r="F12" s="851">
        <f t="shared" si="14"/>
        <v>8</v>
      </c>
      <c r="G12" s="852">
        <f t="shared" si="15"/>
        <v>8</v>
      </c>
      <c r="H12" s="851">
        <f t="shared" si="16"/>
        <v>5</v>
      </c>
      <c r="I12" s="852">
        <f t="shared" si="17"/>
        <v>3</v>
      </c>
      <c r="J12" s="851">
        <f t="shared" si="18"/>
        <v>7</v>
      </c>
      <c r="K12" s="852">
        <f t="shared" si="19"/>
        <v>7</v>
      </c>
      <c r="L12" s="851">
        <f t="shared" si="20"/>
        <v>4</v>
      </c>
      <c r="M12" s="852" t="str">
        <f t="shared" si="21"/>
        <v/>
      </c>
      <c r="N12" s="851" t="str">
        <f t="shared" si="22"/>
        <v/>
      </c>
      <c r="O12" s="852" t="str">
        <f t="shared" si="1"/>
        <v/>
      </c>
      <c r="P12" s="851" t="str">
        <f t="shared" si="2"/>
        <v/>
      </c>
      <c r="Q12" s="852" t="str">
        <f t="shared" si="23"/>
        <v/>
      </c>
      <c r="S12" s="987">
        <f t="shared" si="24"/>
        <v>1</v>
      </c>
      <c r="T12" s="987">
        <f t="shared" si="25"/>
        <v>2</v>
      </c>
      <c r="U12" s="987">
        <f t="shared" si="26"/>
        <v>3</v>
      </c>
      <c r="V12" s="987">
        <f t="shared" si="27"/>
        <v>4</v>
      </c>
      <c r="W12" s="987">
        <f t="shared" si="28"/>
        <v>5</v>
      </c>
      <c r="X12" s="987">
        <f t="shared" si="29"/>
        <v>6</v>
      </c>
      <c r="Y12" s="987">
        <f t="shared" si="30"/>
        <v>7</v>
      </c>
      <c r="Z12" s="987">
        <f t="shared" si="31"/>
        <v>0</v>
      </c>
      <c r="AA12" s="989">
        <f t="shared" si="32"/>
        <v>7</v>
      </c>
      <c r="AB12" s="160">
        <v>-60</v>
      </c>
      <c r="AC12" s="979">
        <f>RANK(AE12,$AE$3:$AE$42)+COUNTIF(AE$3:AE12,AE12)-1</f>
        <v>6</v>
      </c>
      <c r="AD12" s="990">
        <f>SUM((100-Draw!C12)/1000)+(AA12/100000)</f>
        <v>9.0069999999999997E-2</v>
      </c>
      <c r="AE12" s="167">
        <f t="shared" si="33"/>
        <v>74.090069999999997</v>
      </c>
      <c r="AF12" s="172" t="str">
        <f>Draw!B12</f>
        <v>Franz Zorn</v>
      </c>
      <c r="AG12" s="169">
        <f t="shared" si="34"/>
        <v>9</v>
      </c>
      <c r="AH12" s="169">
        <f t="shared" si="35"/>
        <v>8</v>
      </c>
      <c r="AI12" s="169">
        <f t="shared" si="36"/>
        <v>11</v>
      </c>
      <c r="AJ12" s="169">
        <f t="shared" si="37"/>
        <v>12</v>
      </c>
      <c r="AK12" s="169">
        <f t="shared" si="38"/>
        <v>12</v>
      </c>
      <c r="AL12" s="169">
        <f t="shared" si="39"/>
        <v>11</v>
      </c>
      <c r="AM12" s="169">
        <f t="shared" si="40"/>
        <v>11</v>
      </c>
      <c r="AN12" s="169" t="str">
        <f t="shared" si="41"/>
        <v/>
      </c>
      <c r="AO12" s="169" t="str">
        <f t="shared" si="42"/>
        <v/>
      </c>
      <c r="AP12" s="169" t="str">
        <f t="shared" si="43"/>
        <v/>
      </c>
      <c r="AQ12" s="169" t="str">
        <f t="shared" si="44"/>
        <v/>
      </c>
      <c r="AR12" s="480" t="str">
        <f t="shared" si="45"/>
        <v/>
      </c>
      <c r="AS12" s="139">
        <f t="shared" si="3"/>
        <v>74</v>
      </c>
      <c r="AT12" s="397">
        <f t="shared" si="46"/>
        <v>5</v>
      </c>
      <c r="AU12" s="397"/>
      <c r="AV12" s="610" t="s">
        <v>304</v>
      </c>
      <c r="AW12" s="611">
        <v>6</v>
      </c>
      <c r="AX12" s="610" t="s">
        <v>304</v>
      </c>
      <c r="AY12" s="612">
        <v>8</v>
      </c>
      <c r="AZ12" s="582" t="s">
        <v>257</v>
      </c>
      <c r="BA12" s="577">
        <v>5</v>
      </c>
      <c r="BB12" s="582" t="s">
        <v>365</v>
      </c>
      <c r="BC12" s="577">
        <v>6</v>
      </c>
      <c r="BD12" s="582" t="s">
        <v>257</v>
      </c>
      <c r="BE12" s="577">
        <v>7</v>
      </c>
      <c r="BF12" s="582" t="s">
        <v>365</v>
      </c>
      <c r="BG12" s="577">
        <v>7</v>
      </c>
      <c r="BH12" s="582" t="str">
        <f>IF('Day 1'!$I$8&lt;&gt;BH$2,"",IF('Day 1'!$BE21="","",'Day 1'!$BE21))</f>
        <v>Antonin Klatovsky</v>
      </c>
      <c r="BI12" s="577">
        <f>IF(BH12="","",'Day 1'!$BF21)</f>
        <v>5</v>
      </c>
      <c r="BJ12" s="582" t="str">
        <f>IF('Day 2'!$I$8&lt;&gt;BJ$2,"",IF('Day 2'!$BE21="","",'Day 2'!$BE21))</f>
        <v/>
      </c>
      <c r="BK12" s="577" t="str">
        <f>IF(BJ12="","",'Day 2'!$BF21)</f>
        <v/>
      </c>
      <c r="BL12" s="582" t="str">
        <f>IF('Day 1'!$I$8&lt;&gt;BL$2,"",IF('Day 1'!$BE21="","",'Day 1'!$BE21))</f>
        <v/>
      </c>
      <c r="BM12" s="577" t="str">
        <f>IF(BL12="","",'Day 1'!$BF21)</f>
        <v/>
      </c>
      <c r="BN12" s="582" t="str">
        <f>IF('Day 2'!$I$8&lt;&gt;BN$2,"",IF('Day 2'!$BE21="","",'Day 2'!$BE21))</f>
        <v/>
      </c>
      <c r="BO12" s="577" t="str">
        <f>IF(BN12="","",'Day 2'!$BF21)</f>
        <v/>
      </c>
      <c r="BP12" s="582" t="str">
        <f>IF('Day 1'!$I$8&lt;&gt;BP$2,"",IF('Day 1'!$BE21="","",'Day 1'!$BE21))</f>
        <v/>
      </c>
      <c r="BQ12" s="577" t="str">
        <f>IF(BP12="","",'Day 1'!$BF21)</f>
        <v/>
      </c>
      <c r="BR12" s="582" t="str">
        <f>IF('Day 2'!$I$8&lt;&gt;BR$2,"",IF('Day 2'!$BE21="","",'Day 2'!$BE21))</f>
        <v/>
      </c>
      <c r="BS12" s="577" t="str">
        <f>IF(BR12="","",'Day 2'!$BF21)</f>
        <v/>
      </c>
      <c r="BU12" s="836">
        <f t="shared" si="47"/>
        <v>1</v>
      </c>
      <c r="BV12" s="836">
        <f t="shared" si="4"/>
        <v>1</v>
      </c>
      <c r="BW12" s="836">
        <f t="shared" si="5"/>
        <v>1</v>
      </c>
      <c r="BX12" s="836">
        <f t="shared" si="6"/>
        <v>1</v>
      </c>
      <c r="BY12" s="836">
        <f t="shared" si="7"/>
        <v>1</v>
      </c>
      <c r="BZ12" s="836">
        <f t="shared" si="48"/>
        <v>1</v>
      </c>
      <c r="CA12" s="836">
        <f t="shared" si="49"/>
        <v>1</v>
      </c>
      <c r="CB12" s="836">
        <f t="shared" si="50"/>
        <v>0</v>
      </c>
      <c r="CC12" s="836">
        <f t="shared" si="8"/>
        <v>0</v>
      </c>
      <c r="CD12" s="836">
        <f t="shared" si="9"/>
        <v>0</v>
      </c>
      <c r="CE12" s="836">
        <f t="shared" si="10"/>
        <v>0</v>
      </c>
      <c r="CF12" s="836">
        <f t="shared" si="11"/>
        <v>0</v>
      </c>
    </row>
    <row r="13" spans="1:84">
      <c r="A13" s="847">
        <v>11</v>
      </c>
      <c r="B13" s="848" t="e">
        <f>SUMIF(#REF!,D13,#REF!)</f>
        <v>#REF!</v>
      </c>
      <c r="C13" s="849">
        <f>SUMIF(Draw!$B$3:$B$42,D13,Draw!$C$3:$C$42)</f>
        <v>16</v>
      </c>
      <c r="D13" s="850" t="str">
        <f t="shared" si="12"/>
        <v>Nikolay Krasnikov</v>
      </c>
      <c r="E13" s="964">
        <f t="shared" si="13"/>
        <v>41</v>
      </c>
      <c r="F13" s="851">
        <f t="shared" si="14"/>
        <v>21</v>
      </c>
      <c r="G13" s="852">
        <f t="shared" si="15"/>
        <v>20</v>
      </c>
      <c r="H13" s="851" t="str">
        <f t="shared" si="16"/>
        <v/>
      </c>
      <c r="I13" s="852" t="str">
        <f t="shared" si="17"/>
        <v/>
      </c>
      <c r="J13" s="851" t="str">
        <f t="shared" si="18"/>
        <v/>
      </c>
      <c r="K13" s="852" t="str">
        <f t="shared" si="19"/>
        <v/>
      </c>
      <c r="L13" s="851" t="str">
        <f t="shared" si="20"/>
        <v/>
      </c>
      <c r="M13" s="852" t="str">
        <f t="shared" si="21"/>
        <v/>
      </c>
      <c r="N13" s="851" t="str">
        <f t="shared" si="22"/>
        <v/>
      </c>
      <c r="O13" s="852" t="str">
        <f t="shared" si="1"/>
        <v/>
      </c>
      <c r="P13" s="851" t="str">
        <f t="shared" si="2"/>
        <v/>
      </c>
      <c r="Q13" s="852" t="str">
        <f t="shared" si="23"/>
        <v/>
      </c>
      <c r="S13" s="987">
        <f t="shared" si="24"/>
        <v>1</v>
      </c>
      <c r="T13" s="987">
        <f t="shared" si="25"/>
        <v>2</v>
      </c>
      <c r="U13" s="987">
        <f t="shared" si="26"/>
        <v>3</v>
      </c>
      <c r="V13" s="987">
        <f t="shared" si="27"/>
        <v>4</v>
      </c>
      <c r="W13" s="987">
        <f t="shared" si="28"/>
        <v>5</v>
      </c>
      <c r="X13" s="987">
        <f t="shared" si="29"/>
        <v>6</v>
      </c>
      <c r="Y13" s="987">
        <f t="shared" si="30"/>
        <v>7</v>
      </c>
      <c r="Z13" s="987">
        <f t="shared" si="31"/>
        <v>0</v>
      </c>
      <c r="AA13" s="989">
        <f t="shared" si="32"/>
        <v>7</v>
      </c>
      <c r="AB13" s="160">
        <v>-61</v>
      </c>
      <c r="AC13" s="979">
        <f>RANK(AE13,$AE$3:$AE$42)+COUNTIF(AE$3:AE13,AE13)-1</f>
        <v>5</v>
      </c>
      <c r="AD13" s="990">
        <f>SUM((100-Draw!C13)/1000)+(AA13/100000)</f>
        <v>8.9069999999999996E-2</v>
      </c>
      <c r="AE13" s="167">
        <f t="shared" si="33"/>
        <v>90.089070000000007</v>
      </c>
      <c r="AF13" s="171" t="str">
        <f>Draw!B13</f>
        <v>Vitaly Khomitsevich</v>
      </c>
      <c r="AG13" s="169">
        <f t="shared" si="34"/>
        <v>16</v>
      </c>
      <c r="AH13" s="169">
        <f t="shared" si="35"/>
        <v>12</v>
      </c>
      <c r="AI13" s="169">
        <f t="shared" si="36"/>
        <v>12</v>
      </c>
      <c r="AJ13" s="169">
        <f t="shared" si="37"/>
        <v>12</v>
      </c>
      <c r="AK13" s="169">
        <f t="shared" si="38"/>
        <v>16</v>
      </c>
      <c r="AL13" s="169">
        <f t="shared" si="39"/>
        <v>10</v>
      </c>
      <c r="AM13" s="169">
        <f t="shared" si="40"/>
        <v>12</v>
      </c>
      <c r="AN13" s="169" t="str">
        <f t="shared" si="41"/>
        <v/>
      </c>
      <c r="AO13" s="169" t="str">
        <f t="shared" si="42"/>
        <v/>
      </c>
      <c r="AP13" s="169" t="str">
        <f t="shared" si="43"/>
        <v/>
      </c>
      <c r="AQ13" s="169" t="str">
        <f t="shared" si="44"/>
        <v/>
      </c>
      <c r="AR13" s="480" t="str">
        <f t="shared" si="45"/>
        <v/>
      </c>
      <c r="AS13" s="139">
        <f t="shared" si="3"/>
        <v>90</v>
      </c>
      <c r="AT13" s="397">
        <f t="shared" si="46"/>
        <v>5</v>
      </c>
      <c r="AU13" s="397"/>
      <c r="AV13" s="610" t="s">
        <v>363</v>
      </c>
      <c r="AW13" s="611">
        <v>4</v>
      </c>
      <c r="AX13" s="610" t="s">
        <v>374</v>
      </c>
      <c r="AY13" s="612">
        <v>6</v>
      </c>
      <c r="AZ13" s="582" t="s">
        <v>375</v>
      </c>
      <c r="BA13" s="577">
        <v>4</v>
      </c>
      <c r="BB13" s="582" t="s">
        <v>375</v>
      </c>
      <c r="BC13" s="577">
        <v>5</v>
      </c>
      <c r="BD13" s="582" t="s">
        <v>363</v>
      </c>
      <c r="BE13" s="577">
        <v>5</v>
      </c>
      <c r="BF13" s="582" t="s">
        <v>257</v>
      </c>
      <c r="BG13" s="577">
        <v>7</v>
      </c>
      <c r="BH13" s="582" t="str">
        <f>IF('Day 1'!$I$8&lt;&gt;BH$2,"",IF('Day 1'!$BE22="","",'Day 1'!$BE22))</f>
        <v>Daniel Henderson</v>
      </c>
      <c r="BI13" s="577">
        <f>IF(BH13="","",'Day 1'!$BF22)</f>
        <v>5</v>
      </c>
      <c r="BJ13" s="582" t="str">
        <f>IF('Day 2'!$I$8&lt;&gt;BJ$2,"",IF('Day 2'!$BE22="","",'Day 2'!$BE22))</f>
        <v/>
      </c>
      <c r="BK13" s="577" t="str">
        <f>IF(BJ13="","",'Day 2'!$BF22)</f>
        <v/>
      </c>
      <c r="BL13" s="582" t="str">
        <f>IF('Day 1'!$I$8&lt;&gt;BL$2,"",IF('Day 1'!$BE22="","",'Day 1'!$BE22))</f>
        <v/>
      </c>
      <c r="BM13" s="577" t="str">
        <f>IF(BL13="","",'Day 1'!$BF22)</f>
        <v/>
      </c>
      <c r="BN13" s="582" t="str">
        <f>IF('Day 2'!$I$8&lt;&gt;BN$2,"",IF('Day 2'!$BE22="","",'Day 2'!$BE22))</f>
        <v/>
      </c>
      <c r="BO13" s="577" t="str">
        <f>IF(BN13="","",'Day 2'!$BF22)</f>
        <v/>
      </c>
      <c r="BP13" s="582" t="str">
        <f>IF('Day 1'!$I$8&lt;&gt;BP$2,"",IF('Day 1'!$BE22="","",'Day 1'!$BE22))</f>
        <v/>
      </c>
      <c r="BQ13" s="577" t="str">
        <f>IF(BP13="","",'Day 1'!$BF22)</f>
        <v/>
      </c>
      <c r="BR13" s="582" t="str">
        <f>IF('Day 2'!$I$8&lt;&gt;BR$2,"",IF('Day 2'!$BE22="","",'Day 2'!$BE22))</f>
        <v/>
      </c>
      <c r="BS13" s="577" t="str">
        <f>IF(BR13="","",'Day 2'!$BF22)</f>
        <v/>
      </c>
      <c r="BU13" s="836">
        <f t="shared" si="47"/>
        <v>1</v>
      </c>
      <c r="BV13" s="836">
        <f t="shared" si="4"/>
        <v>1</v>
      </c>
      <c r="BW13" s="836">
        <f t="shared" si="5"/>
        <v>1</v>
      </c>
      <c r="BX13" s="836">
        <f t="shared" si="6"/>
        <v>1</v>
      </c>
      <c r="BY13" s="836">
        <f t="shared" si="7"/>
        <v>1</v>
      </c>
      <c r="BZ13" s="836">
        <f t="shared" si="48"/>
        <v>1</v>
      </c>
      <c r="CA13" s="836">
        <f t="shared" si="49"/>
        <v>1</v>
      </c>
      <c r="CB13" s="836">
        <f t="shared" si="50"/>
        <v>0</v>
      </c>
      <c r="CC13" s="836">
        <f t="shared" si="8"/>
        <v>0</v>
      </c>
      <c r="CD13" s="836">
        <f t="shared" si="9"/>
        <v>0</v>
      </c>
      <c r="CE13" s="836">
        <f t="shared" si="10"/>
        <v>0</v>
      </c>
      <c r="CF13" s="836">
        <f t="shared" si="11"/>
        <v>0</v>
      </c>
    </row>
    <row r="14" spans="1:84">
      <c r="A14" s="847">
        <v>12</v>
      </c>
      <c r="B14" s="848" t="e">
        <f>SUMIF(#REF!,D14,#REF!)</f>
        <v>#REF!</v>
      </c>
      <c r="C14" s="849">
        <f>SUMIF(Draw!$B$3:$B$42,D14,Draw!$C$3:$C$42)</f>
        <v>7</v>
      </c>
      <c r="D14" s="850" t="str">
        <f t="shared" si="12"/>
        <v>Gunter Bauer</v>
      </c>
      <c r="E14" s="964">
        <f t="shared" si="13"/>
        <v>36</v>
      </c>
      <c r="F14" s="851">
        <f t="shared" si="14"/>
        <v>3</v>
      </c>
      <c r="G14" s="852">
        <f t="shared" si="15"/>
        <v>6</v>
      </c>
      <c r="H14" s="851">
        <f t="shared" si="16"/>
        <v>2</v>
      </c>
      <c r="I14" s="852">
        <f t="shared" si="17"/>
        <v>4</v>
      </c>
      <c r="J14" s="851">
        <f t="shared" si="18"/>
        <v>4</v>
      </c>
      <c r="K14" s="852">
        <f t="shared" si="19"/>
        <v>8</v>
      </c>
      <c r="L14" s="851">
        <f t="shared" si="20"/>
        <v>9</v>
      </c>
      <c r="M14" s="852" t="str">
        <f t="shared" si="21"/>
        <v/>
      </c>
      <c r="N14" s="851" t="str">
        <f t="shared" si="22"/>
        <v/>
      </c>
      <c r="O14" s="852" t="str">
        <f t="shared" si="1"/>
        <v/>
      </c>
      <c r="P14" s="851" t="str">
        <f t="shared" si="2"/>
        <v/>
      </c>
      <c r="Q14" s="852" t="str">
        <f t="shared" si="23"/>
        <v/>
      </c>
      <c r="S14" s="987">
        <f t="shared" si="24"/>
        <v>1</v>
      </c>
      <c r="T14" s="987">
        <f t="shared" si="25"/>
        <v>2</v>
      </c>
      <c r="U14" s="987">
        <f t="shared" si="26"/>
        <v>3</v>
      </c>
      <c r="V14" s="987">
        <f t="shared" si="27"/>
        <v>4</v>
      </c>
      <c r="W14" s="987">
        <f t="shared" si="28"/>
        <v>5</v>
      </c>
      <c r="X14" s="987">
        <f t="shared" si="29"/>
        <v>6</v>
      </c>
      <c r="Y14" s="987">
        <f t="shared" si="30"/>
        <v>7</v>
      </c>
      <c r="Z14" s="987">
        <f t="shared" si="31"/>
        <v>0</v>
      </c>
      <c r="AA14" s="989">
        <f t="shared" si="32"/>
        <v>7</v>
      </c>
      <c r="AB14" s="160">
        <v>-62</v>
      </c>
      <c r="AC14" s="979">
        <f>RANK(AE14,$AE$3:$AE$42)+COUNTIF(AE$3:AE14,AE14)-1</f>
        <v>13</v>
      </c>
      <c r="AD14" s="990">
        <f>SUM((100-Draw!C14)/1000)+(AA14/100000)</f>
        <v>8.8069999999999996E-2</v>
      </c>
      <c r="AE14" s="167">
        <f t="shared" si="33"/>
        <v>29.088069999999998</v>
      </c>
      <c r="AF14" s="168" t="str">
        <f>Draw!B14</f>
        <v>Hans Weber</v>
      </c>
      <c r="AG14" s="169">
        <f t="shared" si="34"/>
        <v>4</v>
      </c>
      <c r="AH14" s="173">
        <f t="shared" si="35"/>
        <v>4</v>
      </c>
      <c r="AI14" s="169">
        <f t="shared" si="36"/>
        <v>3</v>
      </c>
      <c r="AJ14" s="173">
        <f t="shared" si="37"/>
        <v>4</v>
      </c>
      <c r="AK14" s="169">
        <f t="shared" si="38"/>
        <v>5</v>
      </c>
      <c r="AL14" s="169">
        <f t="shared" si="39"/>
        <v>3</v>
      </c>
      <c r="AM14" s="169">
        <f t="shared" si="40"/>
        <v>6</v>
      </c>
      <c r="AN14" s="169" t="str">
        <f t="shared" si="41"/>
        <v/>
      </c>
      <c r="AO14" s="169" t="str">
        <f t="shared" si="42"/>
        <v/>
      </c>
      <c r="AP14" s="169" t="str">
        <f t="shared" si="43"/>
        <v/>
      </c>
      <c r="AQ14" s="169" t="str">
        <f t="shared" si="44"/>
        <v/>
      </c>
      <c r="AR14" s="480" t="str">
        <f t="shared" si="45"/>
        <v/>
      </c>
      <c r="AS14" s="139">
        <f t="shared" si="3"/>
        <v>29</v>
      </c>
      <c r="AT14" s="397">
        <f t="shared" si="46"/>
        <v>5</v>
      </c>
      <c r="AU14" s="397"/>
      <c r="AV14" s="610" t="s">
        <v>364</v>
      </c>
      <c r="AW14" s="611">
        <v>3</v>
      </c>
      <c r="AX14" s="610" t="s">
        <v>363</v>
      </c>
      <c r="AY14" s="612">
        <v>4</v>
      </c>
      <c r="AZ14" s="582" t="s">
        <v>365</v>
      </c>
      <c r="BA14" s="577">
        <v>3</v>
      </c>
      <c r="BB14" s="582" t="s">
        <v>363</v>
      </c>
      <c r="BC14" s="577">
        <v>4</v>
      </c>
      <c r="BD14" s="582" t="s">
        <v>256</v>
      </c>
      <c r="BE14" s="577">
        <v>4</v>
      </c>
      <c r="BF14" s="582" t="s">
        <v>375</v>
      </c>
      <c r="BG14" s="577">
        <v>4</v>
      </c>
      <c r="BH14" s="582" t="str">
        <f>IF('Day 1'!$I$8&lt;&gt;BH$2,"",IF('Day 1'!$BE23="","",'Day 1'!$BE23))</f>
        <v>Jan Klatovsky</v>
      </c>
      <c r="BI14" s="577">
        <f>IF(BH14="","",'Day 1'!$BF23)</f>
        <v>4</v>
      </c>
      <c r="BJ14" s="582" t="str">
        <f>IF('Day 2'!$I$8&lt;&gt;BJ$2,"",IF('Day 2'!$BE23="","",'Day 2'!$BE23))</f>
        <v/>
      </c>
      <c r="BK14" s="577" t="str">
        <f>IF(BJ14="","",'Day 2'!$BF23)</f>
        <v/>
      </c>
      <c r="BL14" s="582" t="str">
        <f>IF('Day 1'!$I$8&lt;&gt;BL$2,"",IF('Day 1'!$BE23="","",'Day 1'!$BE23))</f>
        <v/>
      </c>
      <c r="BM14" s="577" t="str">
        <f>IF(BL14="","",'Day 1'!$BF23)</f>
        <v/>
      </c>
      <c r="BN14" s="582" t="str">
        <f>IF('Day 2'!$I$8&lt;&gt;BN$2,"",IF('Day 2'!$BE23="","",'Day 2'!$BE23))</f>
        <v/>
      </c>
      <c r="BO14" s="577" t="str">
        <f>IF(BN14="","",'Day 2'!$BF23)</f>
        <v/>
      </c>
      <c r="BP14" s="582" t="str">
        <f>IF('Day 1'!$I$8&lt;&gt;BP$2,"",IF('Day 1'!$BE23="","",'Day 1'!$BE23))</f>
        <v/>
      </c>
      <c r="BQ14" s="577" t="str">
        <f>IF(BP14="","",'Day 1'!$BF23)</f>
        <v/>
      </c>
      <c r="BR14" s="582" t="str">
        <f>IF('Day 2'!$I$8&lt;&gt;BR$2,"",IF('Day 2'!$BE23="","",'Day 2'!$BE23))</f>
        <v/>
      </c>
      <c r="BS14" s="577" t="str">
        <f>IF(BR14="","",'Day 2'!$BF23)</f>
        <v/>
      </c>
      <c r="BU14" s="836">
        <f t="shared" si="47"/>
        <v>1</v>
      </c>
      <c r="BV14" s="836">
        <f t="shared" si="4"/>
        <v>1</v>
      </c>
      <c r="BW14" s="836">
        <f t="shared" si="5"/>
        <v>1</v>
      </c>
      <c r="BX14" s="836">
        <f t="shared" si="6"/>
        <v>1</v>
      </c>
      <c r="BY14" s="836">
        <f t="shared" si="7"/>
        <v>1</v>
      </c>
      <c r="BZ14" s="836">
        <f t="shared" si="48"/>
        <v>1</v>
      </c>
      <c r="CA14" s="836">
        <f t="shared" si="49"/>
        <v>1</v>
      </c>
      <c r="CB14" s="836">
        <f t="shared" si="50"/>
        <v>0</v>
      </c>
      <c r="CC14" s="836">
        <f t="shared" si="8"/>
        <v>0</v>
      </c>
      <c r="CD14" s="836">
        <f t="shared" si="9"/>
        <v>0</v>
      </c>
      <c r="CE14" s="836">
        <f t="shared" si="10"/>
        <v>0</v>
      </c>
      <c r="CF14" s="836">
        <f t="shared" si="11"/>
        <v>0</v>
      </c>
    </row>
    <row r="15" spans="1:84">
      <c r="A15" s="847">
        <v>13</v>
      </c>
      <c r="B15" s="849" t="e">
        <f>SUMIF(#REF!,D15,#REF!)</f>
        <v>#REF!</v>
      </c>
      <c r="C15" s="849">
        <f>SUMIF(Draw!$B$3:$B$42,D15,Draw!$C$3:$C$42)</f>
        <v>12</v>
      </c>
      <c r="D15" s="850" t="str">
        <f t="shared" si="12"/>
        <v>Hans Weber</v>
      </c>
      <c r="E15" s="964">
        <f t="shared" si="13"/>
        <v>29</v>
      </c>
      <c r="F15" s="851">
        <f t="shared" si="14"/>
        <v>4</v>
      </c>
      <c r="G15" s="852">
        <f t="shared" si="15"/>
        <v>4</v>
      </c>
      <c r="H15" s="851">
        <f t="shared" si="16"/>
        <v>3</v>
      </c>
      <c r="I15" s="852">
        <f t="shared" si="17"/>
        <v>4</v>
      </c>
      <c r="J15" s="851">
        <f t="shared" si="18"/>
        <v>5</v>
      </c>
      <c r="K15" s="852">
        <f t="shared" si="19"/>
        <v>3</v>
      </c>
      <c r="L15" s="851">
        <f t="shared" si="20"/>
        <v>6</v>
      </c>
      <c r="M15" s="852" t="str">
        <f t="shared" si="21"/>
        <v/>
      </c>
      <c r="N15" s="851" t="str">
        <f t="shared" si="22"/>
        <v/>
      </c>
      <c r="O15" s="852" t="str">
        <f t="shared" si="1"/>
        <v/>
      </c>
      <c r="P15" s="851" t="str">
        <f t="shared" si="2"/>
        <v/>
      </c>
      <c r="Q15" s="852" t="str">
        <f t="shared" si="23"/>
        <v/>
      </c>
      <c r="S15" s="987">
        <f t="shared" si="24"/>
        <v>1</v>
      </c>
      <c r="T15" s="987">
        <f t="shared" si="25"/>
        <v>2</v>
      </c>
      <c r="U15" s="987">
        <f t="shared" si="26"/>
        <v>3</v>
      </c>
      <c r="V15" s="987">
        <f t="shared" si="27"/>
        <v>4</v>
      </c>
      <c r="W15" s="987">
        <f t="shared" si="28"/>
        <v>0</v>
      </c>
      <c r="X15" s="987">
        <f t="shared" si="29"/>
        <v>0</v>
      </c>
      <c r="Y15" s="987">
        <f t="shared" si="30"/>
        <v>0</v>
      </c>
      <c r="Z15" s="987">
        <f t="shared" si="31"/>
        <v>0</v>
      </c>
      <c r="AA15" s="989">
        <f t="shared" si="32"/>
        <v>4</v>
      </c>
      <c r="AB15" s="160">
        <v>-63</v>
      </c>
      <c r="AC15" s="979">
        <f>RANK(AE15,$AE$3:$AE$42)+COUNTIF(AE$3:AE15,AE15)-1</f>
        <v>17</v>
      </c>
      <c r="AD15" s="990">
        <f>SUM((100-Draw!C15)/1000)+(AA15/100000)</f>
        <v>8.7039999999999992E-2</v>
      </c>
      <c r="AE15" s="167">
        <f t="shared" si="33"/>
        <v>6.08704</v>
      </c>
      <c r="AF15" s="168" t="str">
        <f>Draw!B15</f>
        <v>Mats Jarf</v>
      </c>
      <c r="AG15" s="169">
        <f t="shared" si="34"/>
        <v>3</v>
      </c>
      <c r="AH15" s="169">
        <f t="shared" si="35"/>
        <v>2</v>
      </c>
      <c r="AI15" s="169">
        <f t="shared" si="36"/>
        <v>1</v>
      </c>
      <c r="AJ15" s="169">
        <f t="shared" si="37"/>
        <v>0</v>
      </c>
      <c r="AK15" s="169" t="str">
        <f t="shared" si="38"/>
        <v/>
      </c>
      <c r="AL15" s="169" t="str">
        <f t="shared" si="39"/>
        <v/>
      </c>
      <c r="AM15" s="169" t="str">
        <f t="shared" si="40"/>
        <v/>
      </c>
      <c r="AN15" s="169" t="str">
        <f t="shared" si="41"/>
        <v/>
      </c>
      <c r="AO15" s="169" t="str">
        <f t="shared" si="42"/>
        <v/>
      </c>
      <c r="AP15" s="169" t="str">
        <f t="shared" si="43"/>
        <v/>
      </c>
      <c r="AQ15" s="169" t="str">
        <f t="shared" si="44"/>
        <v/>
      </c>
      <c r="AR15" s="480" t="str">
        <f t="shared" si="45"/>
        <v/>
      </c>
      <c r="AS15" s="139">
        <f t="shared" si="3"/>
        <v>6</v>
      </c>
      <c r="AT15" s="397">
        <f t="shared" si="46"/>
        <v>8</v>
      </c>
      <c r="AU15" s="397"/>
      <c r="AV15" s="610" t="s">
        <v>255</v>
      </c>
      <c r="AW15" s="611">
        <v>3</v>
      </c>
      <c r="AX15" s="610" t="s">
        <v>255</v>
      </c>
      <c r="AY15" s="612">
        <v>3</v>
      </c>
      <c r="AZ15" s="582" t="s">
        <v>256</v>
      </c>
      <c r="BA15" s="577">
        <v>3</v>
      </c>
      <c r="BB15" s="582" t="s">
        <v>374</v>
      </c>
      <c r="BC15" s="577">
        <v>4</v>
      </c>
      <c r="BD15" s="582" t="s">
        <v>374</v>
      </c>
      <c r="BE15" s="577">
        <v>4</v>
      </c>
      <c r="BF15" s="582" t="s">
        <v>363</v>
      </c>
      <c r="BG15" s="577">
        <v>3</v>
      </c>
      <c r="BH15" s="582" t="str">
        <f>IF('Day 1'!$I$8&lt;&gt;BH$2,"",IF('Day 1'!$BE24="","",'Day 1'!$BE24))</f>
        <v>Harald Simon</v>
      </c>
      <c r="BI15" s="577">
        <f>IF(BH15="","",'Day 1'!$BF24)</f>
        <v>4</v>
      </c>
      <c r="BJ15" s="582" t="str">
        <f>IF('Day 2'!$I$8&lt;&gt;BJ$2,"",IF('Day 2'!$BE24="","",'Day 2'!$BE24))</f>
        <v/>
      </c>
      <c r="BK15" s="577" t="str">
        <f>IF(BJ15="","",'Day 2'!$BF24)</f>
        <v/>
      </c>
      <c r="BL15" s="582" t="str">
        <f>IF('Day 1'!$I$8&lt;&gt;BL$2,"",IF('Day 1'!$BE24="","",'Day 1'!$BE24))</f>
        <v/>
      </c>
      <c r="BM15" s="577" t="str">
        <f>IF(BL15="","",'Day 1'!$BF24)</f>
        <v/>
      </c>
      <c r="BN15" s="582" t="str">
        <f>IF('Day 2'!$I$8&lt;&gt;BN$2,"",IF('Day 2'!$BE24="","",'Day 2'!$BE24))</f>
        <v/>
      </c>
      <c r="BO15" s="577" t="str">
        <f>IF(BN15="","",'Day 2'!$BF24)</f>
        <v/>
      </c>
      <c r="BP15" s="582" t="str">
        <f>IF('Day 1'!$I$8&lt;&gt;BP$2,"",IF('Day 1'!$BE24="","",'Day 1'!$BE24))</f>
        <v/>
      </c>
      <c r="BQ15" s="577" t="str">
        <f>IF(BP15="","",'Day 1'!$BF24)</f>
        <v/>
      </c>
      <c r="BR15" s="582" t="str">
        <f>IF('Day 2'!$I$8&lt;&gt;BR$2,"",IF('Day 2'!$BE24="","",'Day 2'!$BE24))</f>
        <v/>
      </c>
      <c r="BS15" s="577" t="str">
        <f>IF(BR15="","",'Day 2'!$BF24)</f>
        <v/>
      </c>
      <c r="BU15" s="836">
        <f t="shared" si="47"/>
        <v>1</v>
      </c>
      <c r="BV15" s="836">
        <f t="shared" si="4"/>
        <v>1</v>
      </c>
      <c r="BW15" s="836">
        <f t="shared" si="5"/>
        <v>1</v>
      </c>
      <c r="BX15" s="836">
        <f t="shared" si="6"/>
        <v>1</v>
      </c>
      <c r="BY15" s="836">
        <f t="shared" si="7"/>
        <v>0</v>
      </c>
      <c r="BZ15" s="836">
        <f t="shared" si="48"/>
        <v>0</v>
      </c>
      <c r="CA15" s="836">
        <f t="shared" si="49"/>
        <v>0</v>
      </c>
      <c r="CB15" s="836">
        <f t="shared" si="50"/>
        <v>0</v>
      </c>
      <c r="CC15" s="836">
        <f t="shared" si="8"/>
        <v>0</v>
      </c>
      <c r="CD15" s="836">
        <f t="shared" si="9"/>
        <v>0</v>
      </c>
      <c r="CE15" s="836">
        <f t="shared" si="10"/>
        <v>0</v>
      </c>
      <c r="CF15" s="836">
        <f t="shared" si="11"/>
        <v>0</v>
      </c>
    </row>
    <row r="16" spans="1:84">
      <c r="A16" s="847">
        <v>14</v>
      </c>
      <c r="B16" s="848" t="e">
        <f>SUMIF(#REF!,D16,#REF!)</f>
        <v>#REF!</v>
      </c>
      <c r="C16" s="849">
        <f>SUMIF(Draw!$B$3:$B$42,D16,Draw!$C$3:$C$42)</f>
        <v>9</v>
      </c>
      <c r="D16" s="850" t="str">
        <f t="shared" si="12"/>
        <v>Per-Anders Lindstrom</v>
      </c>
      <c r="E16" s="964">
        <f t="shared" si="13"/>
        <v>17</v>
      </c>
      <c r="F16" s="851">
        <f t="shared" si="14"/>
        <v>0</v>
      </c>
      <c r="G16" s="852">
        <f t="shared" si="15"/>
        <v>1</v>
      </c>
      <c r="H16" s="851">
        <f t="shared" si="16"/>
        <v>4</v>
      </c>
      <c r="I16" s="852">
        <f t="shared" si="17"/>
        <v>5</v>
      </c>
      <c r="J16" s="851">
        <f t="shared" si="18"/>
        <v>1</v>
      </c>
      <c r="K16" s="852">
        <f t="shared" si="19"/>
        <v>4</v>
      </c>
      <c r="L16" s="851">
        <f t="shared" si="20"/>
        <v>2</v>
      </c>
      <c r="M16" s="852" t="str">
        <f t="shared" si="21"/>
        <v/>
      </c>
      <c r="N16" s="851" t="str">
        <f t="shared" si="22"/>
        <v/>
      </c>
      <c r="O16" s="852" t="str">
        <f t="shared" si="1"/>
        <v/>
      </c>
      <c r="P16" s="851" t="str">
        <f t="shared" si="2"/>
        <v/>
      </c>
      <c r="Q16" s="852" t="str">
        <f t="shared" si="23"/>
        <v/>
      </c>
      <c r="S16" s="987">
        <f t="shared" si="24"/>
        <v>1</v>
      </c>
      <c r="T16" s="987">
        <f t="shared" si="25"/>
        <v>2</v>
      </c>
      <c r="U16" s="987">
        <f t="shared" si="26"/>
        <v>3</v>
      </c>
      <c r="V16" s="987">
        <f t="shared" si="27"/>
        <v>4</v>
      </c>
      <c r="W16" s="987">
        <f t="shared" si="28"/>
        <v>5</v>
      </c>
      <c r="X16" s="987">
        <f t="shared" si="29"/>
        <v>6</v>
      </c>
      <c r="Y16" s="987">
        <f t="shared" si="30"/>
        <v>7</v>
      </c>
      <c r="Z16" s="987">
        <f t="shared" si="31"/>
        <v>0</v>
      </c>
      <c r="AA16" s="989">
        <f t="shared" si="32"/>
        <v>7</v>
      </c>
      <c r="AB16" s="160">
        <v>-64</v>
      </c>
      <c r="AC16" s="979">
        <f>RANK(AE16,$AE$3:$AE$42)+COUNTIF(AE$3:AE16,AE16)-1</f>
        <v>9</v>
      </c>
      <c r="AD16" s="990">
        <f>SUM((100-Draw!C16)/1000)+(AA16/100000)</f>
        <v>8.6069999999999994E-2</v>
      </c>
      <c r="AE16" s="167">
        <f t="shared" si="33"/>
        <v>43.086069999999999</v>
      </c>
      <c r="AF16" s="168" t="str">
        <f>Draw!B16</f>
        <v>Antonin Klatovsky</v>
      </c>
      <c r="AG16" s="169">
        <f t="shared" si="34"/>
        <v>7</v>
      </c>
      <c r="AH16" s="169">
        <f t="shared" si="35"/>
        <v>8</v>
      </c>
      <c r="AI16" s="169">
        <f t="shared" si="36"/>
        <v>3</v>
      </c>
      <c r="AJ16" s="169">
        <f t="shared" si="37"/>
        <v>6</v>
      </c>
      <c r="AK16" s="169">
        <f t="shared" si="38"/>
        <v>7</v>
      </c>
      <c r="AL16" s="169">
        <f t="shared" si="39"/>
        <v>7</v>
      </c>
      <c r="AM16" s="169">
        <f t="shared" si="40"/>
        <v>5</v>
      </c>
      <c r="AN16" s="169" t="str">
        <f t="shared" si="41"/>
        <v/>
      </c>
      <c r="AO16" s="169" t="str">
        <f t="shared" si="42"/>
        <v/>
      </c>
      <c r="AP16" s="169" t="str">
        <f t="shared" si="43"/>
        <v/>
      </c>
      <c r="AQ16" s="169" t="str">
        <f t="shared" si="44"/>
        <v/>
      </c>
      <c r="AR16" s="480" t="str">
        <f t="shared" si="45"/>
        <v/>
      </c>
      <c r="AS16" s="139">
        <f t="shared" si="3"/>
        <v>43</v>
      </c>
      <c r="AT16" s="397">
        <f t="shared" si="46"/>
        <v>5</v>
      </c>
      <c r="AU16" s="397"/>
      <c r="AV16" s="610" t="s">
        <v>374</v>
      </c>
      <c r="AW16" s="611">
        <v>3</v>
      </c>
      <c r="AX16" s="610" t="s">
        <v>364</v>
      </c>
      <c r="AY16" s="612">
        <v>2</v>
      </c>
      <c r="AZ16" s="582" t="s">
        <v>363</v>
      </c>
      <c r="BA16" s="577">
        <v>3</v>
      </c>
      <c r="BB16" s="582" t="s">
        <v>257</v>
      </c>
      <c r="BC16" s="577">
        <v>3</v>
      </c>
      <c r="BD16" s="582" t="s">
        <v>367</v>
      </c>
      <c r="BE16" s="577">
        <v>2</v>
      </c>
      <c r="BF16" s="582" t="s">
        <v>256</v>
      </c>
      <c r="BG16" s="577">
        <v>3</v>
      </c>
      <c r="BH16" s="582" t="str">
        <f>IF('Day 1'!$I$8&lt;&gt;BH$2,"",IF('Day 1'!$BE25="","",'Day 1'!$BE25))</f>
        <v>Per-Anders Lindstrom</v>
      </c>
      <c r="BI16" s="577">
        <f>IF(BH16="","",'Day 1'!$BF25)</f>
        <v>2</v>
      </c>
      <c r="BJ16" s="582" t="str">
        <f>IF('Day 2'!$I$8&lt;&gt;BJ$2,"",IF('Day 2'!$BE25="","",'Day 2'!$BE25))</f>
        <v/>
      </c>
      <c r="BK16" s="577" t="str">
        <f>IF(BJ16="","",'Day 2'!$BF25)</f>
        <v/>
      </c>
      <c r="BL16" s="582" t="str">
        <f>IF('Day 1'!$I$8&lt;&gt;BL$2,"",IF('Day 1'!$BE25="","",'Day 1'!$BE25))</f>
        <v/>
      </c>
      <c r="BM16" s="577" t="str">
        <f>IF(BL16="","",'Day 1'!$BF25)</f>
        <v/>
      </c>
      <c r="BN16" s="582" t="str">
        <f>IF('Day 2'!$I$8&lt;&gt;BN$2,"",IF('Day 2'!$BE25="","",'Day 2'!$BE25))</f>
        <v/>
      </c>
      <c r="BO16" s="577" t="str">
        <f>IF(BN16="","",'Day 2'!$BF25)</f>
        <v/>
      </c>
      <c r="BP16" s="582" t="str">
        <f>IF('Day 1'!$I$8&lt;&gt;BP$2,"",IF('Day 1'!$BE25="","",'Day 1'!$BE25))</f>
        <v/>
      </c>
      <c r="BQ16" s="577" t="str">
        <f>IF(BP16="","",'Day 1'!$BF25)</f>
        <v/>
      </c>
      <c r="BR16" s="582" t="str">
        <f>IF('Day 2'!$I$8&lt;&gt;BR$2,"",IF('Day 2'!$BE25="","",'Day 2'!$BE25))</f>
        <v/>
      </c>
      <c r="BS16" s="577" t="str">
        <f>IF(BR16="","",'Day 2'!$BF25)</f>
        <v/>
      </c>
      <c r="BU16" s="836">
        <f t="shared" si="47"/>
        <v>1</v>
      </c>
      <c r="BV16" s="836">
        <f t="shared" si="4"/>
        <v>1</v>
      </c>
      <c r="BW16" s="836">
        <f t="shared" si="5"/>
        <v>1</v>
      </c>
      <c r="BX16" s="836">
        <f t="shared" si="6"/>
        <v>1</v>
      </c>
      <c r="BY16" s="836">
        <f t="shared" si="7"/>
        <v>1</v>
      </c>
      <c r="BZ16" s="836">
        <f t="shared" si="48"/>
        <v>1</v>
      </c>
      <c r="CA16" s="836">
        <f t="shared" si="49"/>
        <v>1</v>
      </c>
      <c r="CB16" s="836">
        <f t="shared" si="50"/>
        <v>0</v>
      </c>
      <c r="CC16" s="836">
        <f t="shared" si="8"/>
        <v>0</v>
      </c>
      <c r="CD16" s="836">
        <f t="shared" si="9"/>
        <v>0</v>
      </c>
      <c r="CE16" s="836">
        <f t="shared" si="10"/>
        <v>0</v>
      </c>
      <c r="CF16" s="836">
        <f t="shared" si="11"/>
        <v>0</v>
      </c>
    </row>
    <row r="17" spans="1:84">
      <c r="A17" s="847">
        <v>15</v>
      </c>
      <c r="B17" s="848" t="e">
        <f>SUMIF(#REF!,D17,#REF!)</f>
        <v>#REF!</v>
      </c>
      <c r="C17" s="849">
        <f>SUMIF(Draw!$B$3:$B$42,D17,Draw!$C$3:$C$42)</f>
        <v>16</v>
      </c>
      <c r="D17" s="850" t="str">
        <f t="shared" si="12"/>
        <v>Nikita Toloknov</v>
      </c>
      <c r="E17" s="964">
        <f t="shared" si="13"/>
        <v>16</v>
      </c>
      <c r="F17" s="851" t="str">
        <f t="shared" si="14"/>
        <v/>
      </c>
      <c r="G17" s="852" t="str">
        <f t="shared" si="15"/>
        <v/>
      </c>
      <c r="H17" s="851">
        <f t="shared" si="16"/>
        <v>8</v>
      </c>
      <c r="I17" s="852">
        <f t="shared" si="17"/>
        <v>8</v>
      </c>
      <c r="J17" s="851" t="str">
        <f t="shared" si="18"/>
        <v/>
      </c>
      <c r="K17" s="852" t="str">
        <f t="shared" si="19"/>
        <v/>
      </c>
      <c r="L17" s="851" t="str">
        <f t="shared" si="20"/>
        <v/>
      </c>
      <c r="M17" s="852" t="str">
        <f t="shared" si="21"/>
        <v/>
      </c>
      <c r="N17" s="851" t="str">
        <f t="shared" si="22"/>
        <v/>
      </c>
      <c r="O17" s="852" t="str">
        <f t="shared" si="1"/>
        <v/>
      </c>
      <c r="P17" s="851" t="str">
        <f t="shared" si="2"/>
        <v/>
      </c>
      <c r="Q17" s="852" t="str">
        <f t="shared" si="23"/>
        <v/>
      </c>
      <c r="S17" s="987">
        <f t="shared" si="24"/>
        <v>1</v>
      </c>
      <c r="T17" s="987">
        <f t="shared" si="25"/>
        <v>2</v>
      </c>
      <c r="U17" s="987">
        <f t="shared" si="26"/>
        <v>3</v>
      </c>
      <c r="V17" s="987">
        <f t="shared" si="27"/>
        <v>4</v>
      </c>
      <c r="W17" s="987">
        <f t="shared" si="28"/>
        <v>5</v>
      </c>
      <c r="X17" s="987">
        <f t="shared" si="29"/>
        <v>6</v>
      </c>
      <c r="Y17" s="987">
        <f t="shared" si="30"/>
        <v>7</v>
      </c>
      <c r="Z17" s="987">
        <f t="shared" si="31"/>
        <v>0</v>
      </c>
      <c r="AA17" s="989">
        <f t="shared" si="32"/>
        <v>7</v>
      </c>
      <c r="AB17" s="160">
        <v>-65</v>
      </c>
      <c r="AC17" s="979">
        <f>RANK(AE17,$AE$3:$AE$42)+COUNTIF(AE$3:AE17,AE17)-1</f>
        <v>7</v>
      </c>
      <c r="AD17" s="990">
        <f>SUM((100-Draw!C17)/1000)+(AA17/100000)</f>
        <v>8.5070000000000007E-2</v>
      </c>
      <c r="AE17" s="167">
        <f t="shared" si="33"/>
        <v>50.085070000000002</v>
      </c>
      <c r="AF17" s="168" t="str">
        <f>Draw!B17</f>
        <v>Harald Simon</v>
      </c>
      <c r="AG17" s="169">
        <f t="shared" si="34"/>
        <v>6</v>
      </c>
      <c r="AH17" s="169">
        <f t="shared" si="35"/>
        <v>8</v>
      </c>
      <c r="AI17" s="169">
        <f t="shared" si="36"/>
        <v>8</v>
      </c>
      <c r="AJ17" s="169">
        <f t="shared" si="37"/>
        <v>8</v>
      </c>
      <c r="AK17" s="169">
        <f t="shared" si="38"/>
        <v>8</v>
      </c>
      <c r="AL17" s="169">
        <f t="shared" si="39"/>
        <v>8</v>
      </c>
      <c r="AM17" s="169">
        <f t="shared" si="40"/>
        <v>4</v>
      </c>
      <c r="AN17" s="169" t="str">
        <f t="shared" si="41"/>
        <v/>
      </c>
      <c r="AO17" s="169" t="str">
        <f t="shared" si="42"/>
        <v/>
      </c>
      <c r="AP17" s="169" t="str">
        <f t="shared" si="43"/>
        <v/>
      </c>
      <c r="AQ17" s="169" t="str">
        <f t="shared" si="44"/>
        <v/>
      </c>
      <c r="AR17" s="480" t="str">
        <f t="shared" si="45"/>
        <v/>
      </c>
      <c r="AS17" s="139">
        <f t="shared" si="3"/>
        <v>50</v>
      </c>
      <c r="AT17" s="397">
        <f t="shared" si="46"/>
        <v>5</v>
      </c>
      <c r="AU17" s="397"/>
      <c r="AV17" s="610" t="s">
        <v>256</v>
      </c>
      <c r="AW17" s="611">
        <v>2</v>
      </c>
      <c r="AX17" s="610" t="s">
        <v>375</v>
      </c>
      <c r="AY17" s="612">
        <v>1</v>
      </c>
      <c r="AZ17" s="582" t="s">
        <v>374</v>
      </c>
      <c r="BA17" s="577">
        <v>2</v>
      </c>
      <c r="BB17" s="582" t="s">
        <v>256</v>
      </c>
      <c r="BC17" s="577">
        <v>1</v>
      </c>
      <c r="BD17" s="582" t="s">
        <v>375</v>
      </c>
      <c r="BE17" s="577">
        <v>1</v>
      </c>
      <c r="BF17" s="582" t="s">
        <v>384</v>
      </c>
      <c r="BG17" s="577">
        <v>1</v>
      </c>
      <c r="BH17" s="582" t="str">
        <f>IF('Day 1'!$I$8&lt;&gt;BH$2,"",IF('Day 1'!$BE26="","",'Day 1'!$BE26))</f>
        <v>Stefan Pletschacher</v>
      </c>
      <c r="BI17" s="577">
        <f>IF(BH17="","",'Day 1'!$BF26)</f>
        <v>2</v>
      </c>
      <c r="BJ17" s="582" t="str">
        <f>IF('Day 2'!$I$8&lt;&gt;BJ$2,"",IF('Day 2'!$BE26="","",'Day 2'!$BE26))</f>
        <v/>
      </c>
      <c r="BK17" s="577" t="str">
        <f>IF(BJ17="","",'Day 2'!$BF26)</f>
        <v/>
      </c>
      <c r="BL17" s="582" t="str">
        <f>IF('Day 1'!$I$8&lt;&gt;BL$2,"",IF('Day 1'!$BE26="","",'Day 1'!$BE26))</f>
        <v/>
      </c>
      <c r="BM17" s="577" t="str">
        <f>IF(BL17="","",'Day 1'!$BF26)</f>
        <v/>
      </c>
      <c r="BN17" s="582" t="str">
        <f>IF('Day 2'!$I$8&lt;&gt;BN$2,"",IF('Day 2'!$BE26="","",'Day 2'!$BE26))</f>
        <v/>
      </c>
      <c r="BO17" s="577" t="str">
        <f>IF(BN17="","",'Day 2'!$BF26)</f>
        <v/>
      </c>
      <c r="BP17" s="582" t="str">
        <f>IF('Day 1'!$I$8&lt;&gt;BP$2,"",IF('Day 1'!$BE26="","",'Day 1'!$BE26))</f>
        <v/>
      </c>
      <c r="BQ17" s="577" t="str">
        <f>IF(BP17="","",'Day 1'!$BF26)</f>
        <v/>
      </c>
      <c r="BR17" s="582" t="str">
        <f>IF('Day 2'!$I$8&lt;&gt;BR$2,"",IF('Day 2'!$BE26="","",'Day 2'!$BE26))</f>
        <v/>
      </c>
      <c r="BS17" s="577" t="str">
        <f>IF(BR17="","",'Day 2'!$BF26)</f>
        <v/>
      </c>
      <c r="BU17" s="836">
        <f t="shared" si="47"/>
        <v>1</v>
      </c>
      <c r="BV17" s="836">
        <f t="shared" si="4"/>
        <v>1</v>
      </c>
      <c r="BW17" s="836">
        <f t="shared" si="5"/>
        <v>1</v>
      </c>
      <c r="BX17" s="836">
        <f t="shared" si="6"/>
        <v>1</v>
      </c>
      <c r="BY17" s="836">
        <f t="shared" si="7"/>
        <v>1</v>
      </c>
      <c r="BZ17" s="836">
        <f t="shared" si="48"/>
        <v>1</v>
      </c>
      <c r="CA17" s="836">
        <f t="shared" si="49"/>
        <v>1</v>
      </c>
      <c r="CB17" s="836">
        <f t="shared" si="50"/>
        <v>0</v>
      </c>
      <c r="CC17" s="836">
        <f t="shared" si="8"/>
        <v>0</v>
      </c>
      <c r="CD17" s="836">
        <f t="shared" si="9"/>
        <v>0</v>
      </c>
      <c r="CE17" s="836">
        <f t="shared" si="10"/>
        <v>0</v>
      </c>
      <c r="CF17" s="836">
        <f t="shared" si="11"/>
        <v>0</v>
      </c>
    </row>
    <row r="18" spans="1:84">
      <c r="A18" s="166">
        <v>16</v>
      </c>
      <c r="B18" s="400" t="e">
        <f>SUMIF(#REF!,D18,#REF!)</f>
        <v>#REF!</v>
      </c>
      <c r="C18" s="137">
        <f>SUMIF(Draw!$B$3:$B$42,D18,Draw!$C$3:$C$42)</f>
        <v>8</v>
      </c>
      <c r="D18" s="138" t="str">
        <f t="shared" si="12"/>
        <v>Stefan Pletschacher</v>
      </c>
      <c r="E18" s="967">
        <f t="shared" si="13"/>
        <v>15</v>
      </c>
      <c r="F18" s="395">
        <f t="shared" si="14"/>
        <v>2</v>
      </c>
      <c r="G18" s="410">
        <f t="shared" si="15"/>
        <v>0</v>
      </c>
      <c r="H18" s="395">
        <f t="shared" si="16"/>
        <v>3</v>
      </c>
      <c r="I18" s="410">
        <f t="shared" si="17"/>
        <v>1</v>
      </c>
      <c r="J18" s="395">
        <f t="shared" si="18"/>
        <v>4</v>
      </c>
      <c r="K18" s="410">
        <f t="shared" si="19"/>
        <v>3</v>
      </c>
      <c r="L18" s="395">
        <f t="shared" si="20"/>
        <v>2</v>
      </c>
      <c r="M18" s="410" t="str">
        <f t="shared" si="21"/>
        <v/>
      </c>
      <c r="N18" s="395" t="str">
        <f t="shared" si="22"/>
        <v/>
      </c>
      <c r="O18" s="410" t="str">
        <f t="shared" si="1"/>
        <v/>
      </c>
      <c r="P18" s="395" t="str">
        <f t="shared" si="2"/>
        <v/>
      </c>
      <c r="Q18" s="410" t="str">
        <f t="shared" si="23"/>
        <v/>
      </c>
      <c r="S18" s="987">
        <f t="shared" si="24"/>
        <v>1</v>
      </c>
      <c r="T18" s="987">
        <f t="shared" si="25"/>
        <v>2</v>
      </c>
      <c r="U18" s="987">
        <f t="shared" si="26"/>
        <v>0</v>
      </c>
      <c r="V18" s="987">
        <f t="shared" si="27"/>
        <v>0</v>
      </c>
      <c r="W18" s="987">
        <f t="shared" si="28"/>
        <v>0</v>
      </c>
      <c r="X18" s="987">
        <f t="shared" si="29"/>
        <v>0</v>
      </c>
      <c r="Y18" s="987">
        <f t="shared" si="30"/>
        <v>0</v>
      </c>
      <c r="Z18" s="987">
        <f t="shared" si="31"/>
        <v>0</v>
      </c>
      <c r="AA18" s="989">
        <f t="shared" si="32"/>
        <v>2</v>
      </c>
      <c r="AB18" s="160">
        <v>-66</v>
      </c>
      <c r="AC18" s="979">
        <f>RANK(AE18,$AE$3:$AE$42)+COUNTIF(AE$3:AE18,AE18)-1</f>
        <v>11</v>
      </c>
      <c r="AD18" s="990">
        <f>SUM((100-Draw!C18)/1000)+(AA18/100000)</f>
        <v>8.4020000000000011E-2</v>
      </c>
      <c r="AE18" s="167">
        <f t="shared" si="33"/>
        <v>41.084020000000002</v>
      </c>
      <c r="AF18" s="168" t="str">
        <f>Draw!B18</f>
        <v>Nikolay Krasnikov</v>
      </c>
      <c r="AG18" s="169">
        <f t="shared" si="34"/>
        <v>21</v>
      </c>
      <c r="AH18" s="169">
        <f t="shared" si="35"/>
        <v>20</v>
      </c>
      <c r="AI18" s="169" t="str">
        <f t="shared" si="36"/>
        <v/>
      </c>
      <c r="AJ18" s="169" t="str">
        <f t="shared" si="37"/>
        <v/>
      </c>
      <c r="AK18" s="169" t="str">
        <f t="shared" si="38"/>
        <v/>
      </c>
      <c r="AL18" s="169" t="str">
        <f t="shared" si="39"/>
        <v/>
      </c>
      <c r="AM18" s="169" t="str">
        <f t="shared" si="40"/>
        <v/>
      </c>
      <c r="AN18" s="169" t="str">
        <f t="shared" si="41"/>
        <v/>
      </c>
      <c r="AO18" s="169" t="str">
        <f t="shared" si="42"/>
        <v/>
      </c>
      <c r="AP18" s="169" t="str">
        <f t="shared" si="43"/>
        <v/>
      </c>
      <c r="AQ18" s="169" t="str">
        <f t="shared" si="44"/>
        <v/>
      </c>
      <c r="AR18" s="480" t="str">
        <f t="shared" si="45"/>
        <v/>
      </c>
      <c r="AS18" s="139">
        <f t="shared" si="3"/>
        <v>41</v>
      </c>
      <c r="AT18" s="397">
        <f t="shared" si="46"/>
        <v>10</v>
      </c>
      <c r="AU18" s="397"/>
      <c r="AV18" s="610" t="s">
        <v>375</v>
      </c>
      <c r="AW18" s="611">
        <v>0</v>
      </c>
      <c r="AX18" s="610" t="s">
        <v>256</v>
      </c>
      <c r="AY18" s="612">
        <v>0</v>
      </c>
      <c r="AZ18" s="582" t="s">
        <v>364</v>
      </c>
      <c r="BA18" s="577">
        <v>1</v>
      </c>
      <c r="BB18" s="582" t="s">
        <v>380</v>
      </c>
      <c r="BC18" s="577">
        <v>1</v>
      </c>
      <c r="BD18" s="582" t="s">
        <v>384</v>
      </c>
      <c r="BE18" s="577">
        <v>1</v>
      </c>
      <c r="BF18" s="582" t="s">
        <v>367</v>
      </c>
      <c r="BG18" s="577">
        <v>0</v>
      </c>
      <c r="BH18" s="582" t="str">
        <f>IF('Day 1'!$I$8&lt;&gt;BH$2,"",IF('Day 1'!$BE27="","",'Day 1'!$BE27))</f>
        <v>Simon Reitsma</v>
      </c>
      <c r="BI18" s="577">
        <f>IF(BH18="","",'Day 1'!$BF27)</f>
        <v>0</v>
      </c>
      <c r="BJ18" s="582" t="str">
        <f>IF('Day 2'!$I$8&lt;&gt;BJ$2,"",IF('Day 2'!$BE27="","",'Day 2'!$BE27))</f>
        <v/>
      </c>
      <c r="BK18" s="577" t="str">
        <f>IF(BJ18="","",'Day 2'!$BF27)</f>
        <v/>
      </c>
      <c r="BL18" s="582" t="str">
        <f>IF('Day 1'!$I$8&lt;&gt;BL$2,"",IF('Day 1'!$BE27="","",'Day 1'!$BE27))</f>
        <v/>
      </c>
      <c r="BM18" s="577" t="str">
        <f>IF(BL18="","",'Day 1'!$BF27)</f>
        <v/>
      </c>
      <c r="BN18" s="582" t="str">
        <f>IF('Day 2'!$I$8&lt;&gt;BN$2,"",IF('Day 2'!$BE27="","",'Day 2'!$BE27))</f>
        <v/>
      </c>
      <c r="BO18" s="577" t="str">
        <f>IF(BN18="","",'Day 2'!$BF27)</f>
        <v/>
      </c>
      <c r="BP18" s="582" t="str">
        <f>IF('Day 1'!$I$8&lt;&gt;BP$2,"",IF('Day 1'!$BE27="","",'Day 1'!$BE27))</f>
        <v/>
      </c>
      <c r="BQ18" s="577" t="str">
        <f>IF(BP18="","",'Day 1'!$BF27)</f>
        <v/>
      </c>
      <c r="BR18" s="582" t="str">
        <f>IF('Day 2'!$I$8&lt;&gt;BR$2,"",IF('Day 2'!$BE27="","",'Day 2'!$BE27))</f>
        <v/>
      </c>
      <c r="BS18" s="577" t="str">
        <f>IF(BR18="","",'Day 2'!$BF27)</f>
        <v/>
      </c>
      <c r="BU18" s="836">
        <f t="shared" si="47"/>
        <v>1</v>
      </c>
      <c r="BV18" s="836">
        <f t="shared" si="4"/>
        <v>1</v>
      </c>
      <c r="BW18" s="836">
        <f t="shared" si="5"/>
        <v>0</v>
      </c>
      <c r="BX18" s="836">
        <f t="shared" si="6"/>
        <v>0</v>
      </c>
      <c r="BY18" s="836">
        <f t="shared" si="7"/>
        <v>0</v>
      </c>
      <c r="BZ18" s="836">
        <f t="shared" si="48"/>
        <v>0</v>
      </c>
      <c r="CA18" s="836">
        <f t="shared" si="49"/>
        <v>0</v>
      </c>
      <c r="CB18" s="836">
        <f t="shared" si="50"/>
        <v>0</v>
      </c>
      <c r="CC18" s="836">
        <f t="shared" si="8"/>
        <v>0</v>
      </c>
      <c r="CD18" s="836">
        <f t="shared" si="9"/>
        <v>0</v>
      </c>
      <c r="CE18" s="836">
        <f t="shared" si="10"/>
        <v>0</v>
      </c>
      <c r="CF18" s="836">
        <f t="shared" si="11"/>
        <v>0</v>
      </c>
    </row>
    <row r="19" spans="1:84">
      <c r="A19" s="166">
        <v>17</v>
      </c>
      <c r="B19" s="400" t="e">
        <f>SUMIF(#REF!,D19,#REF!)</f>
        <v>#REF!</v>
      </c>
      <c r="C19" s="137">
        <f>SUMIF(Draw!$B$3:$B$42,D19,Draw!$C$3:$C$42)</f>
        <v>13</v>
      </c>
      <c r="D19" s="138" t="str">
        <f t="shared" si="12"/>
        <v>Mats Jarf</v>
      </c>
      <c r="E19" s="967">
        <f t="shared" si="13"/>
        <v>6</v>
      </c>
      <c r="F19" s="395">
        <f t="shared" si="14"/>
        <v>3</v>
      </c>
      <c r="G19" s="410">
        <f t="shared" si="15"/>
        <v>2</v>
      </c>
      <c r="H19" s="395">
        <f t="shared" si="16"/>
        <v>1</v>
      </c>
      <c r="I19" s="410">
        <f t="shared" si="17"/>
        <v>0</v>
      </c>
      <c r="J19" s="395" t="str">
        <f t="shared" si="18"/>
        <v/>
      </c>
      <c r="K19" s="410" t="str">
        <f t="shared" si="19"/>
        <v/>
      </c>
      <c r="L19" s="395" t="str">
        <f t="shared" si="20"/>
        <v/>
      </c>
      <c r="M19" s="410" t="str">
        <f t="shared" si="21"/>
        <v/>
      </c>
      <c r="N19" s="395" t="str">
        <f t="shared" si="22"/>
        <v/>
      </c>
      <c r="O19" s="410" t="str">
        <f t="shared" si="1"/>
        <v/>
      </c>
      <c r="P19" s="395" t="str">
        <f t="shared" si="2"/>
        <v/>
      </c>
      <c r="Q19" s="410" t="str">
        <f t="shared" si="23"/>
        <v/>
      </c>
      <c r="S19" s="987">
        <f t="shared" si="24"/>
        <v>1</v>
      </c>
      <c r="T19" s="987">
        <f t="shared" si="25"/>
        <v>2</v>
      </c>
      <c r="U19" s="987">
        <f t="shared" si="26"/>
        <v>0</v>
      </c>
      <c r="V19" s="987">
        <f t="shared" si="27"/>
        <v>0</v>
      </c>
      <c r="W19" s="987">
        <f t="shared" si="28"/>
        <v>0</v>
      </c>
      <c r="X19" s="987">
        <f t="shared" si="29"/>
        <v>0</v>
      </c>
      <c r="Y19" s="987">
        <f t="shared" si="30"/>
        <v>0</v>
      </c>
      <c r="Z19" s="987">
        <f t="shared" si="31"/>
        <v>0</v>
      </c>
      <c r="AA19" s="989">
        <f t="shared" si="32"/>
        <v>2</v>
      </c>
      <c r="AB19" s="160">
        <v>-67</v>
      </c>
      <c r="AC19" s="979">
        <f>RANK(AE19,$AE$3:$AE$42)+COUNTIF(AE$3:AE19,AE19)-1</f>
        <v>26</v>
      </c>
      <c r="AD19" s="990">
        <f>SUM((100-Draw!C19)/1000)+(AA19/100000)</f>
        <v>8.302000000000001E-2</v>
      </c>
      <c r="AE19" s="167">
        <f t="shared" si="33"/>
        <v>8.302000000000001E-2</v>
      </c>
      <c r="AF19" s="168" t="str">
        <f>Draw!B19</f>
        <v>Sergey Makarov</v>
      </c>
      <c r="AG19" s="169">
        <f t="shared" si="34"/>
        <v>0</v>
      </c>
      <c r="AH19" s="169">
        <f t="shared" si="35"/>
        <v>0</v>
      </c>
      <c r="AI19" s="169" t="str">
        <f t="shared" si="36"/>
        <v/>
      </c>
      <c r="AJ19" s="169" t="str">
        <f t="shared" si="37"/>
        <v/>
      </c>
      <c r="AK19" s="169" t="str">
        <f t="shared" si="38"/>
        <v/>
      </c>
      <c r="AL19" s="169" t="str">
        <f t="shared" si="39"/>
        <v/>
      </c>
      <c r="AM19" s="169" t="str">
        <f t="shared" si="40"/>
        <v/>
      </c>
      <c r="AN19" s="169" t="str">
        <f t="shared" si="41"/>
        <v/>
      </c>
      <c r="AO19" s="169" t="str">
        <f t="shared" si="42"/>
        <v/>
      </c>
      <c r="AP19" s="169" t="str">
        <f t="shared" si="43"/>
        <v/>
      </c>
      <c r="AQ19" s="169" t="str">
        <f t="shared" si="44"/>
        <v/>
      </c>
      <c r="AR19" s="480" t="str">
        <f t="shared" si="45"/>
        <v/>
      </c>
      <c r="AS19" s="139">
        <f t="shared" si="3"/>
        <v>0</v>
      </c>
      <c r="AT19" s="397">
        <f t="shared" si="46"/>
        <v>10</v>
      </c>
      <c r="AU19" s="397"/>
      <c r="AV19" s="610" t="s">
        <v>376</v>
      </c>
      <c r="AW19" s="611">
        <v>0</v>
      </c>
      <c r="AX19" s="610" t="s">
        <v>376</v>
      </c>
      <c r="AY19" s="612">
        <v>0</v>
      </c>
      <c r="AZ19" s="582" t="s">
        <v>379</v>
      </c>
      <c r="BA19" s="577">
        <v>0</v>
      </c>
      <c r="BB19" s="582" t="s">
        <v>379</v>
      </c>
      <c r="BC19" s="577">
        <v>0</v>
      </c>
      <c r="BD19" s="582" t="s">
        <v>385</v>
      </c>
      <c r="BE19" s="577">
        <v>1</v>
      </c>
      <c r="BF19" s="582" t="s">
        <v>385</v>
      </c>
      <c r="BG19" s="577">
        <v>0</v>
      </c>
      <c r="BH19" s="582" t="str">
        <f>IF('Day 1'!$I$8&lt;&gt;BH$2,"",IF('Day 1'!$BE28="","",'Day 1'!$BE28))</f>
        <v>Rene Stellingwerf</v>
      </c>
      <c r="BI19" s="577">
        <f>IF(BH19="","",'Day 1'!$BF28)</f>
        <v>0</v>
      </c>
      <c r="BJ19" s="582" t="str">
        <f>IF('Day 2'!$I$8&lt;&gt;BJ$2,"",IF('Day 2'!$BE28="","",'Day 2'!$BE28))</f>
        <v/>
      </c>
      <c r="BK19" s="577" t="str">
        <f>IF(BJ19="","",'Day 2'!$BF28)</f>
        <v/>
      </c>
      <c r="BL19" s="582" t="str">
        <f>IF('Day 1'!$I$8&lt;&gt;BL$2,"",IF('Day 1'!$BE28="","",'Day 1'!$BE28))</f>
        <v/>
      </c>
      <c r="BM19" s="577" t="str">
        <f>IF(BL19="","",'Day 1'!$BF28)</f>
        <v/>
      </c>
      <c r="BN19" s="582" t="str">
        <f>IF('Day 2'!$I$8&lt;&gt;BN$2,"",IF('Day 2'!$BE28="","",'Day 2'!$BE28))</f>
        <v/>
      </c>
      <c r="BO19" s="577" t="str">
        <f>IF(BN19="","",'Day 2'!$BF28)</f>
        <v/>
      </c>
      <c r="BP19" s="582" t="str">
        <f>IF('Day 1'!$I$8&lt;&gt;BP$2,"",IF('Day 1'!$BE28="","",'Day 1'!$BE28))</f>
        <v/>
      </c>
      <c r="BQ19" s="577" t="str">
        <f>IF(BP19="","",'Day 1'!$BF28)</f>
        <v/>
      </c>
      <c r="BR19" s="582" t="str">
        <f>IF('Day 2'!$I$8&lt;&gt;BR$2,"",IF('Day 2'!$BE28="","",'Day 2'!$BE28))</f>
        <v/>
      </c>
      <c r="BS19" s="577" t="str">
        <f>IF(BR19="","",'Day 2'!$BF28)</f>
        <v/>
      </c>
      <c r="BU19" s="836">
        <f t="shared" si="47"/>
        <v>1</v>
      </c>
      <c r="BV19" s="836">
        <f t="shared" si="4"/>
        <v>1</v>
      </c>
      <c r="BW19" s="836">
        <f t="shared" si="5"/>
        <v>0</v>
      </c>
      <c r="BX19" s="836">
        <f t="shared" si="6"/>
        <v>0</v>
      </c>
      <c r="BY19" s="836">
        <f t="shared" si="7"/>
        <v>0</v>
      </c>
      <c r="BZ19" s="836">
        <f t="shared" si="48"/>
        <v>0</v>
      </c>
      <c r="CA19" s="836">
        <f t="shared" si="49"/>
        <v>0</v>
      </c>
      <c r="CB19" s="836">
        <f t="shared" si="50"/>
        <v>0</v>
      </c>
      <c r="CC19" s="836">
        <f t="shared" si="8"/>
        <v>0</v>
      </c>
      <c r="CD19" s="836">
        <f t="shared" si="9"/>
        <v>0</v>
      </c>
      <c r="CE19" s="836">
        <f t="shared" si="10"/>
        <v>0</v>
      </c>
      <c r="CF19" s="836">
        <f t="shared" si="11"/>
        <v>0</v>
      </c>
    </row>
    <row r="20" spans="1:84" ht="13.5" thickBot="1">
      <c r="A20" s="166">
        <v>18</v>
      </c>
      <c r="B20" s="400" t="e">
        <f>SUMIF(#REF!,D20,#REF!)</f>
        <v>#REF!</v>
      </c>
      <c r="C20" s="137">
        <f>SUMIF(Draw!$B$3:$B$42,D20,Draw!$C$3:$C$42)</f>
        <v>19</v>
      </c>
      <c r="D20" s="138" t="str">
        <f t="shared" si="12"/>
        <v>Daniel Henderson</v>
      </c>
      <c r="E20" s="964">
        <f t="shared" si="13"/>
        <v>5</v>
      </c>
      <c r="F20" s="395" t="str">
        <f t="shared" si="14"/>
        <v/>
      </c>
      <c r="G20" s="410" t="str">
        <f t="shared" si="15"/>
        <v/>
      </c>
      <c r="H20" s="395" t="str">
        <f t="shared" si="16"/>
        <v/>
      </c>
      <c r="I20" s="410" t="str">
        <f t="shared" si="17"/>
        <v/>
      </c>
      <c r="J20" s="395" t="str">
        <f t="shared" si="18"/>
        <v/>
      </c>
      <c r="K20" s="410" t="str">
        <f t="shared" si="19"/>
        <v/>
      </c>
      <c r="L20" s="395">
        <f t="shared" si="20"/>
        <v>5</v>
      </c>
      <c r="M20" s="410" t="str">
        <f t="shared" si="21"/>
        <v/>
      </c>
      <c r="N20" s="395" t="str">
        <f t="shared" si="22"/>
        <v/>
      </c>
      <c r="O20" s="410" t="str">
        <f t="shared" si="1"/>
        <v/>
      </c>
      <c r="P20" s="395" t="str">
        <f t="shared" si="2"/>
        <v/>
      </c>
      <c r="Q20" s="410" t="str">
        <f t="shared" si="23"/>
        <v/>
      </c>
      <c r="S20" s="987">
        <f t="shared" si="24"/>
        <v>1</v>
      </c>
      <c r="T20" s="987">
        <f t="shared" si="25"/>
        <v>2</v>
      </c>
      <c r="U20" s="987">
        <f t="shared" si="26"/>
        <v>0</v>
      </c>
      <c r="V20" s="987">
        <f t="shared" si="27"/>
        <v>0</v>
      </c>
      <c r="W20" s="987">
        <f t="shared" si="28"/>
        <v>0</v>
      </c>
      <c r="X20" s="987">
        <f t="shared" si="29"/>
        <v>0</v>
      </c>
      <c r="Y20" s="987">
        <f t="shared" si="30"/>
        <v>0</v>
      </c>
      <c r="Z20" s="987">
        <f t="shared" si="31"/>
        <v>0</v>
      </c>
      <c r="AA20" s="989">
        <f t="shared" si="32"/>
        <v>2</v>
      </c>
      <c r="AB20" s="160">
        <v>-68</v>
      </c>
      <c r="AC20" s="979">
        <f>RANK(AE20,$AE$3:$AE$42)+COUNTIF(AE$3:AE20,AE20)-1</f>
        <v>29</v>
      </c>
      <c r="AD20" s="990">
        <f>SUM((100-Draw!C20)/1000)+(AA20/100000)</f>
        <v>8.202000000000001E-2</v>
      </c>
      <c r="AE20" s="167">
        <f t="shared" si="33"/>
        <v>8.202000000000001E-2</v>
      </c>
      <c r="AF20" s="168" t="str">
        <f>Draw!B20</f>
        <v>Aleksey Kolganov</v>
      </c>
      <c r="AG20" s="169">
        <f t="shared" si="34"/>
        <v>0</v>
      </c>
      <c r="AH20" s="169">
        <f t="shared" si="35"/>
        <v>0</v>
      </c>
      <c r="AI20" s="169" t="str">
        <f t="shared" si="36"/>
        <v/>
      </c>
      <c r="AJ20" s="169" t="str">
        <f t="shared" si="37"/>
        <v/>
      </c>
      <c r="AK20" s="169" t="str">
        <f t="shared" si="38"/>
        <v/>
      </c>
      <c r="AL20" s="169" t="str">
        <f t="shared" si="39"/>
        <v/>
      </c>
      <c r="AM20" s="169" t="str">
        <f t="shared" si="40"/>
        <v/>
      </c>
      <c r="AN20" s="169" t="str">
        <f t="shared" si="41"/>
        <v/>
      </c>
      <c r="AO20" s="169" t="str">
        <f t="shared" si="42"/>
        <v/>
      </c>
      <c r="AP20" s="169" t="str">
        <f t="shared" si="43"/>
        <v/>
      </c>
      <c r="AQ20" s="169" t="str">
        <f t="shared" si="44"/>
        <v/>
      </c>
      <c r="AR20" s="480" t="str">
        <f t="shared" si="45"/>
        <v/>
      </c>
      <c r="AS20" s="139">
        <f t="shared" si="3"/>
        <v>0</v>
      </c>
      <c r="AT20" s="397">
        <f t="shared" si="46"/>
        <v>10</v>
      </c>
      <c r="AU20" s="397"/>
      <c r="AV20" s="620" t="s">
        <v>377</v>
      </c>
      <c r="AW20" s="621">
        <v>0</v>
      </c>
      <c r="AX20" s="620" t="s">
        <v>377</v>
      </c>
      <c r="AY20" s="622">
        <v>0</v>
      </c>
      <c r="AZ20" s="586" t="s">
        <v>380</v>
      </c>
      <c r="BA20" s="580">
        <v>0</v>
      </c>
      <c r="BB20" s="586" t="s">
        <v>364</v>
      </c>
      <c r="BC20" s="580">
        <v>0</v>
      </c>
      <c r="BD20" s="586" t="s">
        <v>386</v>
      </c>
      <c r="BE20" s="580">
        <v>0</v>
      </c>
      <c r="BF20" s="586" t="s">
        <v>386</v>
      </c>
      <c r="BG20" s="580">
        <v>0</v>
      </c>
      <c r="BH20" s="586" t="str">
        <f>IF('Day 1'!$I$8&lt;&gt;BH$2,"",IF('Day 1'!$BE29="","",'Day 1'!$BE29))</f>
        <v>Max Niedermaier</v>
      </c>
      <c r="BI20" s="580">
        <f>IF(BH20="","",'Day 1'!$BF29)</f>
        <v>0</v>
      </c>
      <c r="BJ20" s="586" t="str">
        <f>IF('Day 2'!$I$8&lt;&gt;BJ$2,"",IF('Day 2'!$BE29="","",'Day 2'!$BE29))</f>
        <v/>
      </c>
      <c r="BK20" s="580" t="str">
        <f>IF(BJ20="","",'Day 2'!$BF29)</f>
        <v/>
      </c>
      <c r="BL20" s="586" t="str">
        <f>IF('Day 1'!$I$8&lt;&gt;BL$2,"",IF('Day 1'!$BE29="","",'Day 1'!$BE29))</f>
        <v/>
      </c>
      <c r="BM20" s="580" t="str">
        <f>IF(BL20="","",'Day 1'!$BF29)</f>
        <v/>
      </c>
      <c r="BN20" s="586" t="str">
        <f>IF('Day 2'!$I$8&lt;&gt;BN$2,"",IF('Day 2'!$BE29="","",'Day 2'!$BE29))</f>
        <v/>
      </c>
      <c r="BO20" s="580" t="str">
        <f>IF(BN20="","",'Day 2'!$BF29)</f>
        <v/>
      </c>
      <c r="BP20" s="586" t="str">
        <f>IF('Day 1'!$I$8&lt;&gt;BP$2,"",IF('Day 1'!$BE29="","",'Day 1'!$BE29))</f>
        <v/>
      </c>
      <c r="BQ20" s="580" t="str">
        <f>IF(BP20="","",'Day 1'!$BF29)</f>
        <v/>
      </c>
      <c r="BR20" s="586" t="str">
        <f>IF('Day 2'!$I$8&lt;&gt;BR$2,"",IF('Day 2'!$BE29="","",'Day 2'!$BE29))</f>
        <v/>
      </c>
      <c r="BS20" s="580" t="str">
        <f>IF(BR20="","",'Day 2'!$BF29)</f>
        <v/>
      </c>
      <c r="BU20" s="836">
        <f t="shared" si="47"/>
        <v>1</v>
      </c>
      <c r="BV20" s="836">
        <f t="shared" si="4"/>
        <v>1</v>
      </c>
      <c r="BW20" s="836">
        <f t="shared" si="5"/>
        <v>0</v>
      </c>
      <c r="BX20" s="836">
        <f t="shared" si="6"/>
        <v>0</v>
      </c>
      <c r="BY20" s="836">
        <f t="shared" si="7"/>
        <v>0</v>
      </c>
      <c r="BZ20" s="836">
        <f t="shared" si="48"/>
        <v>0</v>
      </c>
      <c r="CA20" s="836">
        <f t="shared" si="49"/>
        <v>0</v>
      </c>
      <c r="CB20" s="836">
        <f t="shared" si="50"/>
        <v>0</v>
      </c>
      <c r="CC20" s="836">
        <f t="shared" si="8"/>
        <v>0</v>
      </c>
      <c r="CD20" s="836">
        <f t="shared" si="9"/>
        <v>0</v>
      </c>
      <c r="CE20" s="836">
        <f t="shared" si="10"/>
        <v>0</v>
      </c>
      <c r="CF20" s="836">
        <f t="shared" si="11"/>
        <v>0</v>
      </c>
    </row>
    <row r="21" spans="1:84" ht="14.25" thickTop="1" thickBot="1">
      <c r="A21" s="166">
        <v>19</v>
      </c>
      <c r="B21" s="400" t="e">
        <f>SUMIF(#REF!,D21,#REF!)</f>
        <v>#REF!</v>
      </c>
      <c r="C21" s="137">
        <f>SUMIF(Draw!$B$3:$B$42,D21,Draw!$C$3:$C$42)</f>
        <v>16</v>
      </c>
      <c r="D21" s="138" t="str">
        <f t="shared" si="12"/>
        <v>Vladimir Cheblokov</v>
      </c>
      <c r="E21" s="967">
        <f t="shared" si="13"/>
        <v>2</v>
      </c>
      <c r="F21" s="395" t="str">
        <f t="shared" si="14"/>
        <v/>
      </c>
      <c r="G21" s="410" t="str">
        <f t="shared" si="15"/>
        <v/>
      </c>
      <c r="H21" s="395" t="str">
        <f t="shared" si="16"/>
        <v/>
      </c>
      <c r="I21" s="410" t="str">
        <f t="shared" si="17"/>
        <v/>
      </c>
      <c r="J21" s="395">
        <f t="shared" si="18"/>
        <v>1</v>
      </c>
      <c r="K21" s="410">
        <f t="shared" si="19"/>
        <v>1</v>
      </c>
      <c r="L21" s="395" t="str">
        <f t="shared" si="20"/>
        <v/>
      </c>
      <c r="M21" s="410" t="str">
        <f t="shared" si="21"/>
        <v/>
      </c>
      <c r="N21" s="395" t="str">
        <f t="shared" si="22"/>
        <v/>
      </c>
      <c r="O21" s="410" t="str">
        <f t="shared" si="1"/>
        <v/>
      </c>
      <c r="P21" s="395" t="str">
        <f t="shared" si="2"/>
        <v/>
      </c>
      <c r="Q21" s="410" t="str">
        <f t="shared" si="23"/>
        <v/>
      </c>
      <c r="S21" s="987">
        <f t="shared" si="24"/>
        <v>0</v>
      </c>
      <c r="T21" s="987">
        <f t="shared" si="25"/>
        <v>0</v>
      </c>
      <c r="U21" s="987">
        <f t="shared" si="26"/>
        <v>0</v>
      </c>
      <c r="V21" s="987">
        <f t="shared" si="27"/>
        <v>0</v>
      </c>
      <c r="W21" s="987">
        <f t="shared" si="28"/>
        <v>0</v>
      </c>
      <c r="X21" s="987">
        <f t="shared" si="29"/>
        <v>0</v>
      </c>
      <c r="Y21" s="987">
        <f t="shared" si="30"/>
        <v>7</v>
      </c>
      <c r="Z21" s="987">
        <f t="shared" si="31"/>
        <v>0</v>
      </c>
      <c r="AA21" s="989">
        <f t="shared" si="32"/>
        <v>7</v>
      </c>
      <c r="AB21" s="160">
        <v>-69</v>
      </c>
      <c r="AC21" s="979">
        <f>RANK(AE21,$AE$3:$AE$42)+COUNTIF(AE$3:AE21,AE21)-1</f>
        <v>18</v>
      </c>
      <c r="AD21" s="990">
        <f>SUM((100-Draw!C21)/1000)+(AA21/100000)</f>
        <v>8.1070000000000003E-2</v>
      </c>
      <c r="AE21" s="167">
        <f t="shared" si="33"/>
        <v>5.0810700000000004</v>
      </c>
      <c r="AF21" s="168" t="str">
        <f>Draw!B21</f>
        <v>Daniel Henderson</v>
      </c>
      <c r="AG21" s="169" t="str">
        <f t="shared" si="34"/>
        <v/>
      </c>
      <c r="AH21" s="169" t="str">
        <f t="shared" si="35"/>
        <v/>
      </c>
      <c r="AI21" s="169" t="str">
        <f t="shared" si="36"/>
        <v/>
      </c>
      <c r="AJ21" s="169" t="str">
        <f t="shared" si="37"/>
        <v/>
      </c>
      <c r="AK21" s="169" t="str">
        <f t="shared" si="38"/>
        <v/>
      </c>
      <c r="AL21" s="169" t="str">
        <f t="shared" si="39"/>
        <v/>
      </c>
      <c r="AM21" s="169">
        <f t="shared" si="40"/>
        <v>5</v>
      </c>
      <c r="AN21" s="169" t="str">
        <f t="shared" si="41"/>
        <v/>
      </c>
      <c r="AO21" s="169" t="str">
        <f t="shared" si="42"/>
        <v/>
      </c>
      <c r="AP21" s="169" t="str">
        <f t="shared" si="43"/>
        <v/>
      </c>
      <c r="AQ21" s="169" t="str">
        <f t="shared" si="44"/>
        <v/>
      </c>
      <c r="AR21" s="480" t="str">
        <f t="shared" si="45"/>
        <v/>
      </c>
      <c r="AS21" s="139">
        <f t="shared" si="3"/>
        <v>5</v>
      </c>
      <c r="AT21" s="397">
        <f t="shared" si="46"/>
        <v>11</v>
      </c>
      <c r="AU21" s="397"/>
      <c r="AW21" s="13"/>
      <c r="AY21" s="13"/>
      <c r="BA21" s="13"/>
      <c r="BC21" s="13"/>
      <c r="BE21" s="13"/>
      <c r="BG21" s="13"/>
      <c r="BI21" s="13"/>
      <c r="BK21" s="13"/>
      <c r="BM21" s="13"/>
      <c r="BO21" s="13"/>
      <c r="BP21" s="13"/>
      <c r="BQ21" s="13"/>
      <c r="BR21" s="13"/>
      <c r="BS21" s="13"/>
      <c r="BU21" s="836">
        <f t="shared" si="47"/>
        <v>0</v>
      </c>
      <c r="BV21" s="836">
        <f t="shared" si="4"/>
        <v>0</v>
      </c>
      <c r="BW21" s="836">
        <f t="shared" si="5"/>
        <v>0</v>
      </c>
      <c r="BX21" s="836">
        <f t="shared" si="6"/>
        <v>0</v>
      </c>
      <c r="BY21" s="836">
        <f t="shared" si="7"/>
        <v>0</v>
      </c>
      <c r="BZ21" s="836">
        <f t="shared" si="48"/>
        <v>0</v>
      </c>
      <c r="CA21" s="836">
        <f t="shared" si="49"/>
        <v>1</v>
      </c>
      <c r="CB21" s="836">
        <f t="shared" si="50"/>
        <v>0</v>
      </c>
      <c r="CC21" s="836">
        <f t="shared" si="8"/>
        <v>0</v>
      </c>
      <c r="CD21" s="836">
        <f t="shared" si="9"/>
        <v>0</v>
      </c>
      <c r="CE21" s="836">
        <f t="shared" si="10"/>
        <v>0</v>
      </c>
      <c r="CF21" s="836">
        <f t="shared" si="11"/>
        <v>0</v>
      </c>
    </row>
    <row r="22" spans="1:84" ht="13.9" customHeight="1" thickBot="1">
      <c r="A22" s="166">
        <v>20</v>
      </c>
      <c r="B22" s="400" t="e">
        <f>SUMIF(#REF!,D22,#REF!)</f>
        <v>#REF!</v>
      </c>
      <c r="C22" s="137">
        <f>SUMIF(Draw!$B$3:$B$42,D22,Draw!$C$3:$C$42)</f>
        <v>20</v>
      </c>
      <c r="D22" s="138" t="str">
        <f t="shared" si="12"/>
        <v>Niclas Kallin Svenson</v>
      </c>
      <c r="E22" s="967">
        <f t="shared" si="13"/>
        <v>2</v>
      </c>
      <c r="F22" s="395" t="str">
        <f t="shared" si="14"/>
        <v/>
      </c>
      <c r="G22" s="410" t="str">
        <f t="shared" si="15"/>
        <v/>
      </c>
      <c r="H22" s="395" t="str">
        <f t="shared" si="16"/>
        <v/>
      </c>
      <c r="I22" s="410" t="str">
        <f t="shared" si="17"/>
        <v/>
      </c>
      <c r="J22" s="395">
        <f t="shared" si="18"/>
        <v>2</v>
      </c>
      <c r="K22" s="410">
        <f t="shared" si="19"/>
        <v>0</v>
      </c>
      <c r="L22" s="395" t="str">
        <f t="shared" si="20"/>
        <v/>
      </c>
      <c r="M22" s="410" t="str">
        <f t="shared" si="21"/>
        <v/>
      </c>
      <c r="N22" s="395" t="str">
        <f t="shared" si="22"/>
        <v/>
      </c>
      <c r="O22" s="410" t="str">
        <f t="shared" si="1"/>
        <v/>
      </c>
      <c r="P22" s="395" t="str">
        <f t="shared" si="2"/>
        <v/>
      </c>
      <c r="Q22" s="410" t="str">
        <f t="shared" si="23"/>
        <v/>
      </c>
      <c r="S22" s="987">
        <f t="shared" si="24"/>
        <v>0</v>
      </c>
      <c r="T22" s="987">
        <f t="shared" si="25"/>
        <v>0</v>
      </c>
      <c r="U22" s="987">
        <f t="shared" si="26"/>
        <v>0</v>
      </c>
      <c r="V22" s="987">
        <f t="shared" si="27"/>
        <v>0</v>
      </c>
      <c r="W22" s="987">
        <f t="shared" si="28"/>
        <v>5</v>
      </c>
      <c r="X22" s="987">
        <f t="shared" si="29"/>
        <v>6</v>
      </c>
      <c r="Y22" s="987">
        <f t="shared" si="30"/>
        <v>0</v>
      </c>
      <c r="Z22" s="987">
        <f t="shared" si="31"/>
        <v>0</v>
      </c>
      <c r="AA22" s="989">
        <f t="shared" si="32"/>
        <v>6</v>
      </c>
      <c r="AB22" s="160">
        <v>-70</v>
      </c>
      <c r="AC22" s="979">
        <f>RANK(AE22,$AE$3:$AE$42)+COUNTIF(AE$3:AE22,AE22)-1</f>
        <v>20</v>
      </c>
      <c r="AD22" s="990">
        <f>SUM((100-Draw!C22)/1000)+(AA22/100000)</f>
        <v>8.0060000000000006E-2</v>
      </c>
      <c r="AE22" s="167">
        <f t="shared" si="33"/>
        <v>2.08006</v>
      </c>
      <c r="AF22" s="168" t="str">
        <f>Draw!B22</f>
        <v>Niclas Kallin Svenson</v>
      </c>
      <c r="AG22" s="169" t="str">
        <f t="shared" si="34"/>
        <v/>
      </c>
      <c r="AH22" s="169" t="str">
        <f t="shared" si="35"/>
        <v/>
      </c>
      <c r="AI22" s="169" t="str">
        <f t="shared" si="36"/>
        <v/>
      </c>
      <c r="AJ22" s="169" t="str">
        <f t="shared" si="37"/>
        <v/>
      </c>
      <c r="AK22" s="169">
        <f t="shared" si="38"/>
        <v>2</v>
      </c>
      <c r="AL22" s="169">
        <f t="shared" si="39"/>
        <v>0</v>
      </c>
      <c r="AM22" s="169" t="str">
        <f t="shared" si="40"/>
        <v/>
      </c>
      <c r="AN22" s="169" t="str">
        <f t="shared" si="41"/>
        <v/>
      </c>
      <c r="AO22" s="169" t="str">
        <f t="shared" si="42"/>
        <v/>
      </c>
      <c r="AP22" s="169" t="str">
        <f t="shared" si="43"/>
        <v/>
      </c>
      <c r="AQ22" s="169" t="str">
        <f t="shared" si="44"/>
        <v/>
      </c>
      <c r="AR22" s="480" t="str">
        <f t="shared" si="45"/>
        <v/>
      </c>
      <c r="AS22" s="139">
        <f t="shared" si="3"/>
        <v>2</v>
      </c>
      <c r="AT22" s="397">
        <f t="shared" si="46"/>
        <v>10</v>
      </c>
      <c r="AU22" s="397"/>
      <c r="AV22" s="1309" t="s">
        <v>139</v>
      </c>
      <c r="AW22" s="1310"/>
      <c r="AX22" s="1311"/>
      <c r="AY22" s="13"/>
      <c r="BA22" s="13"/>
      <c r="BB22" s="1309" t="s">
        <v>139</v>
      </c>
      <c r="BC22" s="1310"/>
      <c r="BD22" s="1311"/>
      <c r="BE22" s="13"/>
      <c r="BG22" s="13"/>
      <c r="BH22" s="1309" t="s">
        <v>139</v>
      </c>
      <c r="BI22" s="1310"/>
      <c r="BJ22" s="1311"/>
      <c r="BK22" s="13"/>
      <c r="BM22" s="13"/>
      <c r="BP22" s="1309" t="s">
        <v>139</v>
      </c>
      <c r="BQ22" s="1310"/>
      <c r="BR22" s="1311"/>
      <c r="BU22" s="836">
        <f t="shared" si="47"/>
        <v>0</v>
      </c>
      <c r="BV22" s="836">
        <f t="shared" si="4"/>
        <v>0</v>
      </c>
      <c r="BW22" s="836">
        <f t="shared" si="5"/>
        <v>0</v>
      </c>
      <c r="BX22" s="836">
        <f t="shared" si="6"/>
        <v>0</v>
      </c>
      <c r="BY22" s="836">
        <f t="shared" si="7"/>
        <v>1</v>
      </c>
      <c r="BZ22" s="836">
        <f t="shared" si="48"/>
        <v>1</v>
      </c>
      <c r="CA22" s="836">
        <f t="shared" si="49"/>
        <v>0</v>
      </c>
      <c r="CB22" s="836">
        <f t="shared" si="50"/>
        <v>0</v>
      </c>
      <c r="CC22" s="836">
        <f t="shared" si="8"/>
        <v>0</v>
      </c>
      <c r="CD22" s="836">
        <f t="shared" si="9"/>
        <v>0</v>
      </c>
      <c r="CE22" s="836">
        <f t="shared" si="10"/>
        <v>0</v>
      </c>
      <c r="CF22" s="836">
        <f t="shared" si="11"/>
        <v>0</v>
      </c>
    </row>
    <row r="23" spans="1:84" ht="13.15" customHeight="1">
      <c r="A23" s="166">
        <v>21</v>
      </c>
      <c r="B23" s="400" t="e">
        <f>SUMIF(#REF!,D23,#REF!)</f>
        <v>#REF!</v>
      </c>
      <c r="C23" s="137">
        <f>SUMIF(Draw!$B$3:$B$42,D23,Draw!$C$3:$C$42)</f>
        <v>17</v>
      </c>
      <c r="D23" s="138" t="str">
        <f t="shared" si="12"/>
        <v>Pavel Nekrassov</v>
      </c>
      <c r="E23" s="967">
        <f t="shared" si="13"/>
        <v>1</v>
      </c>
      <c r="F23" s="395" t="str">
        <f t="shared" si="14"/>
        <v/>
      </c>
      <c r="G23" s="410" t="str">
        <f t="shared" si="15"/>
        <v/>
      </c>
      <c r="H23" s="395" t="str">
        <f t="shared" si="16"/>
        <v/>
      </c>
      <c r="I23" s="410" t="str">
        <f t="shared" si="17"/>
        <v/>
      </c>
      <c r="J23" s="395">
        <f t="shared" si="18"/>
        <v>1</v>
      </c>
      <c r="K23" s="410">
        <f t="shared" si="19"/>
        <v>0</v>
      </c>
      <c r="L23" s="395" t="str">
        <f t="shared" si="20"/>
        <v/>
      </c>
      <c r="M23" s="410" t="str">
        <f t="shared" si="21"/>
        <v/>
      </c>
      <c r="N23" s="395" t="str">
        <f t="shared" si="22"/>
        <v/>
      </c>
      <c r="O23" s="410" t="str">
        <f t="shared" si="1"/>
        <v/>
      </c>
      <c r="P23" s="395" t="str">
        <f t="shared" si="2"/>
        <v/>
      </c>
      <c r="Q23" s="410" t="str">
        <f t="shared" si="23"/>
        <v/>
      </c>
      <c r="S23" s="987">
        <f t="shared" si="24"/>
        <v>0</v>
      </c>
      <c r="T23" s="987">
        <f t="shared" si="25"/>
        <v>0</v>
      </c>
      <c r="U23" s="987">
        <f t="shared" si="26"/>
        <v>0</v>
      </c>
      <c r="V23" s="987">
        <f t="shared" si="27"/>
        <v>0</v>
      </c>
      <c r="W23" s="987">
        <f t="shared" si="28"/>
        <v>0</v>
      </c>
      <c r="X23" s="987">
        <f t="shared" si="29"/>
        <v>0</v>
      </c>
      <c r="Y23" s="987">
        <f t="shared" si="30"/>
        <v>0</v>
      </c>
      <c r="Z23" s="987">
        <f t="shared" si="31"/>
        <v>0</v>
      </c>
      <c r="AA23" s="989">
        <f t="shared" si="32"/>
        <v>0</v>
      </c>
      <c r="AB23" s="160">
        <v>-71</v>
      </c>
      <c r="AC23" s="979">
        <f>RANK(AE23,$AE$3:$AE$42)+COUNTIF(AE$3:AE23,AE23)-1</f>
        <v>30</v>
      </c>
      <c r="AD23" s="990">
        <f>SUM((100-Draw!C23)/1000)+(AA23/100000)</f>
        <v>7.9000000000000001E-2</v>
      </c>
      <c r="AE23" s="167">
        <f t="shared" si="33"/>
        <v>-71</v>
      </c>
      <c r="AF23" s="168" t="str">
        <f>Draw!B23</f>
        <v>Jimmy Olsen</v>
      </c>
      <c r="AG23" s="169" t="str">
        <f t="shared" si="34"/>
        <v/>
      </c>
      <c r="AH23" s="169" t="str">
        <f t="shared" si="35"/>
        <v/>
      </c>
      <c r="AI23" s="169" t="str">
        <f t="shared" si="36"/>
        <v/>
      </c>
      <c r="AJ23" s="169" t="str">
        <f t="shared" si="37"/>
        <v/>
      </c>
      <c r="AK23" s="169" t="str">
        <f t="shared" si="38"/>
        <v/>
      </c>
      <c r="AL23" s="169" t="str">
        <f t="shared" si="39"/>
        <v/>
      </c>
      <c r="AM23" s="169" t="str">
        <f t="shared" si="40"/>
        <v/>
      </c>
      <c r="AN23" s="169" t="str">
        <f t="shared" si="41"/>
        <v/>
      </c>
      <c r="AO23" s="169" t="str">
        <f t="shared" si="42"/>
        <v/>
      </c>
      <c r="AP23" s="169" t="str">
        <f t="shared" si="43"/>
        <v/>
      </c>
      <c r="AQ23" s="169" t="str">
        <f t="shared" si="44"/>
        <v/>
      </c>
      <c r="AR23" s="480" t="str">
        <f t="shared" si="45"/>
        <v/>
      </c>
      <c r="AS23" s="139" t="str">
        <f t="shared" si="3"/>
        <v/>
      </c>
      <c r="AT23" s="397">
        <f t="shared" si="46"/>
        <v>12</v>
      </c>
      <c r="AU23" s="397"/>
      <c r="AV23" s="1314" t="s">
        <v>140</v>
      </c>
      <c r="AW23" s="1315"/>
      <c r="AX23" s="1316"/>
      <c r="AY23" s="13"/>
      <c r="BA23" s="13"/>
      <c r="BB23" s="1314" t="s">
        <v>140</v>
      </c>
      <c r="BC23" s="1315"/>
      <c r="BD23" s="1316"/>
      <c r="BE23" s="13"/>
      <c r="BG23" s="13"/>
      <c r="BH23" s="1314" t="s">
        <v>140</v>
      </c>
      <c r="BI23" s="1315"/>
      <c r="BJ23" s="1316"/>
      <c r="BK23" s="13"/>
      <c r="BM23" s="13"/>
      <c r="BP23" s="1314" t="s">
        <v>140</v>
      </c>
      <c r="BQ23" s="1315"/>
      <c r="BR23" s="1316"/>
      <c r="BU23" s="836">
        <f t="shared" si="47"/>
        <v>0</v>
      </c>
      <c r="BV23" s="836">
        <f t="shared" si="4"/>
        <v>0</v>
      </c>
      <c r="BW23" s="836">
        <f t="shared" si="5"/>
        <v>0</v>
      </c>
      <c r="BX23" s="836">
        <f t="shared" si="6"/>
        <v>0</v>
      </c>
      <c r="BY23" s="836">
        <f t="shared" si="7"/>
        <v>0</v>
      </c>
      <c r="BZ23" s="836">
        <f t="shared" si="48"/>
        <v>0</v>
      </c>
      <c r="CA23" s="836">
        <f t="shared" si="49"/>
        <v>0</v>
      </c>
      <c r="CB23" s="836">
        <f t="shared" si="50"/>
        <v>0</v>
      </c>
      <c r="CC23" s="836">
        <f t="shared" si="8"/>
        <v>0</v>
      </c>
      <c r="CD23" s="836">
        <f t="shared" si="9"/>
        <v>0</v>
      </c>
      <c r="CE23" s="836">
        <f t="shared" si="10"/>
        <v>0</v>
      </c>
      <c r="CF23" s="836">
        <f t="shared" si="11"/>
        <v>0</v>
      </c>
    </row>
    <row r="24" spans="1:84" ht="13.15" customHeight="1">
      <c r="A24" s="166">
        <v>22</v>
      </c>
      <c r="B24" s="400" t="e">
        <f>SUMIF(#REF!,D24,#REF!)</f>
        <v>#REF!</v>
      </c>
      <c r="C24" s="137">
        <f>SUMIF(Draw!$B$3:$B$42,D24,Draw!$C$3:$C$42)</f>
        <v>18</v>
      </c>
      <c r="D24" s="138" t="str">
        <f t="shared" si="12"/>
        <v>Ivan Bolshakov</v>
      </c>
      <c r="E24" s="967">
        <f t="shared" si="13"/>
        <v>1</v>
      </c>
      <c r="F24" s="395" t="str">
        <f t="shared" si="14"/>
        <v/>
      </c>
      <c r="G24" s="410" t="str">
        <f t="shared" si="15"/>
        <v/>
      </c>
      <c r="H24" s="395">
        <f t="shared" si="16"/>
        <v>0</v>
      </c>
      <c r="I24" s="410">
        <f t="shared" si="17"/>
        <v>1</v>
      </c>
      <c r="J24" s="395" t="str">
        <f t="shared" si="18"/>
        <v/>
      </c>
      <c r="K24" s="410" t="str">
        <f t="shared" si="19"/>
        <v/>
      </c>
      <c r="L24" s="395" t="str">
        <f t="shared" si="20"/>
        <v/>
      </c>
      <c r="M24" s="410" t="str">
        <f t="shared" si="21"/>
        <v/>
      </c>
      <c r="N24" s="395" t="str">
        <f t="shared" si="22"/>
        <v/>
      </c>
      <c r="O24" s="410" t="str">
        <f t="shared" si="1"/>
        <v/>
      </c>
      <c r="P24" s="395" t="str">
        <f t="shared" si="2"/>
        <v/>
      </c>
      <c r="Q24" s="410" t="str">
        <f t="shared" si="23"/>
        <v/>
      </c>
      <c r="S24" s="987">
        <f t="shared" si="24"/>
        <v>0</v>
      </c>
      <c r="T24" s="987">
        <f t="shared" si="25"/>
        <v>0</v>
      </c>
      <c r="U24" s="987">
        <f t="shared" si="26"/>
        <v>0</v>
      </c>
      <c r="V24" s="987">
        <f t="shared" si="27"/>
        <v>0</v>
      </c>
      <c r="W24" s="987">
        <f t="shared" si="28"/>
        <v>0</v>
      </c>
      <c r="X24" s="987">
        <f t="shared" si="29"/>
        <v>0</v>
      </c>
      <c r="Y24" s="987">
        <f t="shared" si="30"/>
        <v>0</v>
      </c>
      <c r="Z24" s="987">
        <f t="shared" si="31"/>
        <v>0</v>
      </c>
      <c r="AA24" s="989">
        <f t="shared" si="32"/>
        <v>0</v>
      </c>
      <c r="AB24" s="160">
        <v>-72</v>
      </c>
      <c r="AC24" s="979">
        <f>RANK(AE24,$AE$3:$AE$42)+COUNTIF(AE$3:AE24,AE24)-1</f>
        <v>31</v>
      </c>
      <c r="AD24" s="990">
        <f>SUM((100-Draw!C24)/1000)+(AA24/100000)</f>
        <v>7.8E-2</v>
      </c>
      <c r="AE24" s="167">
        <f t="shared" si="33"/>
        <v>-72</v>
      </c>
      <c r="AF24" s="168" t="str">
        <f>Draw!B24</f>
        <v>Ove Ledstrom</v>
      </c>
      <c r="AG24" s="169" t="str">
        <f t="shared" si="34"/>
        <v/>
      </c>
      <c r="AH24" s="169" t="str">
        <f t="shared" si="35"/>
        <v/>
      </c>
      <c r="AI24" s="169" t="str">
        <f t="shared" si="36"/>
        <v/>
      </c>
      <c r="AJ24" s="169" t="str">
        <f t="shared" si="37"/>
        <v/>
      </c>
      <c r="AK24" s="169" t="str">
        <f t="shared" si="38"/>
        <v/>
      </c>
      <c r="AL24" s="169" t="str">
        <f t="shared" si="39"/>
        <v/>
      </c>
      <c r="AM24" s="169" t="str">
        <f t="shared" si="40"/>
        <v/>
      </c>
      <c r="AN24" s="169" t="str">
        <f t="shared" si="41"/>
        <v/>
      </c>
      <c r="AO24" s="169" t="str">
        <f t="shared" si="42"/>
        <v/>
      </c>
      <c r="AP24" s="169" t="str">
        <f t="shared" si="43"/>
        <v/>
      </c>
      <c r="AQ24" s="169" t="str">
        <f t="shared" si="44"/>
        <v/>
      </c>
      <c r="AR24" s="480" t="str">
        <f t="shared" si="45"/>
        <v/>
      </c>
      <c r="AS24" s="139" t="str">
        <f t="shared" si="3"/>
        <v/>
      </c>
      <c r="AT24" s="397">
        <f t="shared" si="46"/>
        <v>12</v>
      </c>
      <c r="AU24" s="397"/>
      <c r="AV24" s="1317" t="s">
        <v>141</v>
      </c>
      <c r="AW24" s="1307"/>
      <c r="AX24" s="1308"/>
      <c r="AY24" s="13"/>
      <c r="BA24" s="13"/>
      <c r="BB24" s="1317" t="s">
        <v>141</v>
      </c>
      <c r="BC24" s="1307"/>
      <c r="BD24" s="1308"/>
      <c r="BE24" s="13"/>
      <c r="BG24" s="13"/>
      <c r="BH24" s="1317" t="s">
        <v>141</v>
      </c>
      <c r="BI24" s="1307"/>
      <c r="BJ24" s="1308"/>
      <c r="BK24" s="13"/>
      <c r="BM24" s="13"/>
      <c r="BP24" s="1317" t="s">
        <v>141</v>
      </c>
      <c r="BQ24" s="1307"/>
      <c r="BR24" s="1308"/>
      <c r="BU24" s="836">
        <f t="shared" si="47"/>
        <v>0</v>
      </c>
      <c r="BV24" s="836">
        <f t="shared" si="4"/>
        <v>0</v>
      </c>
      <c r="BW24" s="836">
        <f t="shared" si="5"/>
        <v>0</v>
      </c>
      <c r="BX24" s="836">
        <f t="shared" si="6"/>
        <v>0</v>
      </c>
      <c r="BY24" s="836">
        <f t="shared" si="7"/>
        <v>0</v>
      </c>
      <c r="BZ24" s="836">
        <f t="shared" si="48"/>
        <v>0</v>
      </c>
      <c r="CA24" s="836">
        <f t="shared" si="49"/>
        <v>0</v>
      </c>
      <c r="CB24" s="836">
        <f t="shared" si="50"/>
        <v>0</v>
      </c>
      <c r="CC24" s="836">
        <f t="shared" si="8"/>
        <v>0</v>
      </c>
      <c r="CD24" s="836">
        <f t="shared" si="9"/>
        <v>0</v>
      </c>
      <c r="CE24" s="836">
        <f t="shared" si="10"/>
        <v>0</v>
      </c>
      <c r="CF24" s="836">
        <f t="shared" si="11"/>
        <v>0</v>
      </c>
    </row>
    <row r="25" spans="1:84" ht="13.15" customHeight="1">
      <c r="A25" s="166">
        <v>23</v>
      </c>
      <c r="B25" s="400" t="e">
        <f>SUMIF(#REF!,D25,#REF!)</f>
        <v>#REF!</v>
      </c>
      <c r="C25" s="137">
        <f>SUMIF(Draw!$B$3:$B$42,D25,Draw!$C$3:$C$42)</f>
        <v>16</v>
      </c>
      <c r="D25" s="138" t="str">
        <f t="shared" si="12"/>
        <v>Rene Stellingwerf</v>
      </c>
      <c r="E25" s="967">
        <f t="shared" si="13"/>
        <v>0</v>
      </c>
      <c r="F25" s="395" t="str">
        <f t="shared" si="14"/>
        <v/>
      </c>
      <c r="G25" s="410" t="str">
        <f t="shared" si="15"/>
        <v/>
      </c>
      <c r="H25" s="395" t="str">
        <f t="shared" si="16"/>
        <v/>
      </c>
      <c r="I25" s="410" t="str">
        <f t="shared" si="17"/>
        <v/>
      </c>
      <c r="J25" s="395" t="str">
        <f t="shared" si="18"/>
        <v/>
      </c>
      <c r="K25" s="410" t="str">
        <f t="shared" si="19"/>
        <v/>
      </c>
      <c r="L25" s="395">
        <f t="shared" si="20"/>
        <v>0</v>
      </c>
      <c r="M25" s="410" t="str">
        <f t="shared" si="21"/>
        <v/>
      </c>
      <c r="N25" s="395" t="str">
        <f t="shared" si="22"/>
        <v/>
      </c>
      <c r="O25" s="410" t="str">
        <f t="shared" si="1"/>
        <v/>
      </c>
      <c r="P25" s="395" t="str">
        <f t="shared" si="2"/>
        <v/>
      </c>
      <c r="Q25" s="410" t="str">
        <f t="shared" si="23"/>
        <v/>
      </c>
      <c r="S25" s="987">
        <f t="shared" si="24"/>
        <v>0</v>
      </c>
      <c r="T25" s="987">
        <f t="shared" si="25"/>
        <v>0</v>
      </c>
      <c r="U25" s="987">
        <f t="shared" si="26"/>
        <v>0</v>
      </c>
      <c r="V25" s="987">
        <f t="shared" si="27"/>
        <v>0</v>
      </c>
      <c r="W25" s="987">
        <f t="shared" si="28"/>
        <v>0</v>
      </c>
      <c r="X25" s="987">
        <f t="shared" si="29"/>
        <v>0</v>
      </c>
      <c r="Y25" s="987">
        <f t="shared" si="30"/>
        <v>7</v>
      </c>
      <c r="Z25" s="987">
        <f t="shared" si="31"/>
        <v>0</v>
      </c>
      <c r="AA25" s="989">
        <f t="shared" si="32"/>
        <v>7</v>
      </c>
      <c r="AB25" s="160">
        <v>-73</v>
      </c>
      <c r="AC25" s="979">
        <f>RANK(AE25,$AE$3:$AE$42)+COUNTIF(AE$3:AE25,AE25)-1</f>
        <v>27</v>
      </c>
      <c r="AD25" s="990">
        <f>SUM((100-Draw!C25)/1000)+(AA25/100000)</f>
        <v>8.2070000000000004E-2</v>
      </c>
      <c r="AE25" s="167">
        <f t="shared" si="33"/>
        <v>8.2070000000000004E-2</v>
      </c>
      <c r="AF25" s="168" t="str">
        <f>Draw!B25</f>
        <v>Max Niedermaier</v>
      </c>
      <c r="AG25" s="169" t="str">
        <f t="shared" si="34"/>
        <v/>
      </c>
      <c r="AH25" s="170" t="str">
        <f t="shared" si="35"/>
        <v/>
      </c>
      <c r="AI25" s="169" t="str">
        <f t="shared" si="36"/>
        <v/>
      </c>
      <c r="AJ25" s="169" t="str">
        <f t="shared" si="37"/>
        <v/>
      </c>
      <c r="AK25" s="173" t="str">
        <f t="shared" si="38"/>
        <v/>
      </c>
      <c r="AL25" s="169" t="str">
        <f t="shared" si="39"/>
        <v/>
      </c>
      <c r="AM25" s="169">
        <f t="shared" si="40"/>
        <v>0</v>
      </c>
      <c r="AN25" s="169" t="str">
        <f t="shared" si="41"/>
        <v/>
      </c>
      <c r="AO25" s="169" t="str">
        <f t="shared" si="42"/>
        <v/>
      </c>
      <c r="AP25" s="169" t="str">
        <f t="shared" si="43"/>
        <v/>
      </c>
      <c r="AQ25" s="169" t="str">
        <f t="shared" si="44"/>
        <v/>
      </c>
      <c r="AR25" s="480" t="str">
        <f t="shared" si="45"/>
        <v/>
      </c>
      <c r="AS25" s="139">
        <f t="shared" si="3"/>
        <v>0</v>
      </c>
      <c r="AT25" s="397">
        <f t="shared" si="46"/>
        <v>11</v>
      </c>
      <c r="AU25" s="397"/>
      <c r="AV25" s="1306" t="s">
        <v>142</v>
      </c>
      <c r="AW25" s="1307"/>
      <c r="AX25" s="1308"/>
      <c r="AY25" s="13"/>
      <c r="BA25" s="13"/>
      <c r="BB25" s="1306" t="s">
        <v>142</v>
      </c>
      <c r="BC25" s="1307"/>
      <c r="BD25" s="1308"/>
      <c r="BE25" s="13"/>
      <c r="BG25" s="13"/>
      <c r="BH25" s="1306" t="s">
        <v>142</v>
      </c>
      <c r="BI25" s="1307"/>
      <c r="BJ25" s="1308"/>
      <c r="BK25" s="13"/>
      <c r="BM25" s="13"/>
      <c r="BP25" s="1306" t="s">
        <v>142</v>
      </c>
      <c r="BQ25" s="1307"/>
      <c r="BR25" s="1308"/>
      <c r="BU25" s="836">
        <f t="shared" si="47"/>
        <v>0</v>
      </c>
      <c r="BV25" s="836">
        <f t="shared" si="4"/>
        <v>0</v>
      </c>
      <c r="BW25" s="836">
        <f t="shared" si="5"/>
        <v>0</v>
      </c>
      <c r="BX25" s="836">
        <f t="shared" si="6"/>
        <v>0</v>
      </c>
      <c r="BY25" s="836">
        <f t="shared" si="7"/>
        <v>0</v>
      </c>
      <c r="BZ25" s="836">
        <f t="shared" si="48"/>
        <v>0</v>
      </c>
      <c r="CA25" s="836">
        <f t="shared" si="49"/>
        <v>1</v>
      </c>
      <c r="CB25" s="836">
        <f t="shared" si="50"/>
        <v>0</v>
      </c>
      <c r="CC25" s="836">
        <f t="shared" si="8"/>
        <v>0</v>
      </c>
      <c r="CD25" s="836">
        <f t="shared" si="9"/>
        <v>0</v>
      </c>
      <c r="CE25" s="836">
        <f t="shared" si="10"/>
        <v>0</v>
      </c>
      <c r="CF25" s="836">
        <f t="shared" si="11"/>
        <v>0</v>
      </c>
    </row>
    <row r="26" spans="1:84" ht="13.5" thickBot="1">
      <c r="A26" s="166">
        <v>24</v>
      </c>
      <c r="B26" s="400" t="e">
        <f>SUMIF(#REF!,D26,#REF!)</f>
        <v>#REF!</v>
      </c>
      <c r="C26" s="137">
        <f>SUMIF(Draw!$B$3:$B$42,D26,Draw!$C$3:$C$42)</f>
        <v>17</v>
      </c>
      <c r="D26" s="138" t="str">
        <f t="shared" si="12"/>
        <v>Simon Reitsma</v>
      </c>
      <c r="E26" s="967">
        <f t="shared" si="13"/>
        <v>0</v>
      </c>
      <c r="F26" s="395" t="str">
        <f t="shared" si="14"/>
        <v/>
      </c>
      <c r="G26" s="837" t="str">
        <f t="shared" si="15"/>
        <v/>
      </c>
      <c r="H26" s="395" t="str">
        <f t="shared" si="16"/>
        <v/>
      </c>
      <c r="I26" s="837" t="str">
        <f t="shared" si="17"/>
        <v/>
      </c>
      <c r="J26" s="395" t="str">
        <f t="shared" si="18"/>
        <v/>
      </c>
      <c r="K26" s="837" t="str">
        <f t="shared" si="19"/>
        <v/>
      </c>
      <c r="L26" s="395">
        <f t="shared" si="20"/>
        <v>0</v>
      </c>
      <c r="M26" s="837" t="str">
        <f t="shared" si="21"/>
        <v/>
      </c>
      <c r="N26" s="395" t="str">
        <f t="shared" si="22"/>
        <v/>
      </c>
      <c r="O26" s="837" t="str">
        <f t="shared" si="1"/>
        <v/>
      </c>
      <c r="P26" s="395" t="str">
        <f t="shared" si="2"/>
        <v/>
      </c>
      <c r="Q26" s="837" t="str">
        <f t="shared" si="23"/>
        <v/>
      </c>
      <c r="S26" s="987">
        <f t="shared" si="24"/>
        <v>0</v>
      </c>
      <c r="T26" s="987">
        <f t="shared" si="25"/>
        <v>0</v>
      </c>
      <c r="U26" s="987">
        <f t="shared" si="26"/>
        <v>3</v>
      </c>
      <c r="V26" s="987">
        <f t="shared" si="27"/>
        <v>4</v>
      </c>
      <c r="W26" s="987">
        <f t="shared" si="28"/>
        <v>0</v>
      </c>
      <c r="X26" s="987">
        <f t="shared" si="29"/>
        <v>0</v>
      </c>
      <c r="Y26" s="987">
        <f t="shared" si="30"/>
        <v>0</v>
      </c>
      <c r="Z26" s="987">
        <f t="shared" si="31"/>
        <v>0</v>
      </c>
      <c r="AA26" s="989">
        <f t="shared" si="32"/>
        <v>4</v>
      </c>
      <c r="AB26" s="160">
        <v>-74</v>
      </c>
      <c r="AC26" s="979">
        <f>RANK(AE26,$AE$3:$AE$42)+COUNTIF(AE$3:AE26,AE26)-1</f>
        <v>15</v>
      </c>
      <c r="AD26" s="990">
        <f>SUM((100-Draw!C26)/1000)+(AA26/100000)</f>
        <v>8.4040000000000004E-2</v>
      </c>
      <c r="AE26" s="167">
        <f t="shared" si="33"/>
        <v>16.084040000000002</v>
      </c>
      <c r="AF26" s="168" t="str">
        <f>Draw!B26</f>
        <v>Nikita Toloknov</v>
      </c>
      <c r="AG26" s="173" t="str">
        <f t="shared" si="34"/>
        <v/>
      </c>
      <c r="AH26" s="169" t="str">
        <f t="shared" si="35"/>
        <v/>
      </c>
      <c r="AI26" s="169">
        <f t="shared" si="36"/>
        <v>8</v>
      </c>
      <c r="AJ26" s="169">
        <f t="shared" si="37"/>
        <v>8</v>
      </c>
      <c r="AK26" s="169" t="str">
        <f t="shared" si="38"/>
        <v/>
      </c>
      <c r="AL26" s="169" t="str">
        <f t="shared" si="39"/>
        <v/>
      </c>
      <c r="AM26" s="169" t="str">
        <f t="shared" si="40"/>
        <v/>
      </c>
      <c r="AN26" s="169" t="str">
        <f t="shared" si="41"/>
        <v/>
      </c>
      <c r="AO26" s="169" t="str">
        <f t="shared" si="42"/>
        <v/>
      </c>
      <c r="AP26" s="169" t="str">
        <f t="shared" si="43"/>
        <v/>
      </c>
      <c r="AQ26" s="169" t="str">
        <f t="shared" si="44"/>
        <v/>
      </c>
      <c r="AR26" s="480" t="str">
        <f t="shared" si="45"/>
        <v/>
      </c>
      <c r="AS26" s="139">
        <f t="shared" si="3"/>
        <v>16</v>
      </c>
      <c r="AT26" s="397">
        <f t="shared" si="46"/>
        <v>10</v>
      </c>
      <c r="AU26" s="397"/>
      <c r="AV26" s="1303" t="s">
        <v>143</v>
      </c>
      <c r="AW26" s="1304"/>
      <c r="AX26" s="1305"/>
      <c r="AY26" s="13"/>
      <c r="BA26" s="13"/>
      <c r="BB26" s="1303" t="s">
        <v>143</v>
      </c>
      <c r="BC26" s="1304"/>
      <c r="BD26" s="1305"/>
      <c r="BE26" s="13"/>
      <c r="BG26" s="13"/>
      <c r="BH26" s="1303" t="s">
        <v>143</v>
      </c>
      <c r="BI26" s="1304"/>
      <c r="BJ26" s="1305"/>
      <c r="BK26" s="13"/>
      <c r="BM26" s="13"/>
      <c r="BP26" s="1303" t="s">
        <v>143</v>
      </c>
      <c r="BQ26" s="1304"/>
      <c r="BR26" s="1305"/>
      <c r="BU26" s="836">
        <f t="shared" si="47"/>
        <v>0</v>
      </c>
      <c r="BV26" s="836">
        <f t="shared" si="4"/>
        <v>0</v>
      </c>
      <c r="BW26" s="836">
        <f t="shared" si="5"/>
        <v>1</v>
      </c>
      <c r="BX26" s="836">
        <f t="shared" si="6"/>
        <v>1</v>
      </c>
      <c r="BY26" s="836">
        <f t="shared" si="7"/>
        <v>0</v>
      </c>
      <c r="BZ26" s="836">
        <f t="shared" si="48"/>
        <v>0</v>
      </c>
      <c r="CA26" s="836">
        <f t="shared" si="49"/>
        <v>0</v>
      </c>
      <c r="CB26" s="836">
        <f t="shared" si="50"/>
        <v>0</v>
      </c>
      <c r="CC26" s="836">
        <f t="shared" si="8"/>
        <v>0</v>
      </c>
      <c r="CD26" s="836">
        <f t="shared" si="9"/>
        <v>0</v>
      </c>
      <c r="CE26" s="836">
        <f t="shared" si="10"/>
        <v>0</v>
      </c>
      <c r="CF26" s="836">
        <f t="shared" si="11"/>
        <v>0</v>
      </c>
    </row>
    <row r="27" spans="1:84" ht="13.9" customHeight="1" thickBot="1">
      <c r="A27" s="166">
        <v>25</v>
      </c>
      <c r="B27" s="400" t="e">
        <f>SUMIF(#REF!,D27,#REF!)</f>
        <v>#REF!</v>
      </c>
      <c r="C27" s="137">
        <f>SUMIF(Draw!$B$3:$B$42,D27,Draw!$C$3:$C$42)</f>
        <v>17</v>
      </c>
      <c r="D27" s="138" t="str">
        <f t="shared" si="12"/>
        <v>Mikhail Litvinov</v>
      </c>
      <c r="E27" s="967">
        <f t="shared" si="13"/>
        <v>0</v>
      </c>
      <c r="F27" s="395" t="str">
        <f t="shared" si="14"/>
        <v/>
      </c>
      <c r="G27" s="410" t="str">
        <f t="shared" si="15"/>
        <v/>
      </c>
      <c r="H27" s="395">
        <f t="shared" si="16"/>
        <v>0</v>
      </c>
      <c r="I27" s="410">
        <f t="shared" si="17"/>
        <v>0</v>
      </c>
      <c r="J27" s="395" t="str">
        <f t="shared" si="18"/>
        <v/>
      </c>
      <c r="K27" s="410" t="str">
        <f t="shared" si="19"/>
        <v/>
      </c>
      <c r="L27" s="395" t="str">
        <f t="shared" si="20"/>
        <v/>
      </c>
      <c r="M27" s="410" t="str">
        <f t="shared" si="21"/>
        <v/>
      </c>
      <c r="N27" s="395" t="str">
        <f t="shared" si="22"/>
        <v/>
      </c>
      <c r="O27" s="410" t="str">
        <f t="shared" si="1"/>
        <v/>
      </c>
      <c r="P27" s="395" t="str">
        <f t="shared" si="2"/>
        <v/>
      </c>
      <c r="Q27" s="410" t="str">
        <f t="shared" si="23"/>
        <v/>
      </c>
      <c r="S27" s="987">
        <f t="shared" si="24"/>
        <v>0</v>
      </c>
      <c r="T27" s="987">
        <f t="shared" si="25"/>
        <v>0</v>
      </c>
      <c r="U27" s="987">
        <f t="shared" si="26"/>
        <v>3</v>
      </c>
      <c r="V27" s="987">
        <f t="shared" si="27"/>
        <v>4</v>
      </c>
      <c r="W27" s="987">
        <f t="shared" si="28"/>
        <v>0</v>
      </c>
      <c r="X27" s="987">
        <f t="shared" si="29"/>
        <v>0</v>
      </c>
      <c r="Y27" s="987">
        <f t="shared" si="30"/>
        <v>0</v>
      </c>
      <c r="Z27" s="987">
        <f t="shared" si="31"/>
        <v>0</v>
      </c>
      <c r="AA27" s="989">
        <f t="shared" si="32"/>
        <v>4</v>
      </c>
      <c r="AB27" s="160">
        <v>-75</v>
      </c>
      <c r="AC27" s="979">
        <f>RANK(AE27,$AE$3:$AE$42)+COUNTIF(AE$3:AE27,AE27)-1</f>
        <v>25</v>
      </c>
      <c r="AD27" s="990">
        <f>SUM((100-Draw!C27)/1000)+(AA27/100000)</f>
        <v>8.3040000000000003E-2</v>
      </c>
      <c r="AE27" s="167">
        <f t="shared" si="33"/>
        <v>8.3040000000000003E-2</v>
      </c>
      <c r="AF27" s="168" t="str">
        <f>Draw!B27</f>
        <v>Mikhail Litvinov</v>
      </c>
      <c r="AG27" s="169" t="str">
        <f t="shared" si="34"/>
        <v/>
      </c>
      <c r="AH27" s="169" t="str">
        <f t="shared" si="35"/>
        <v/>
      </c>
      <c r="AI27" s="169">
        <f t="shared" si="36"/>
        <v>0</v>
      </c>
      <c r="AJ27" s="169">
        <f t="shared" si="37"/>
        <v>0</v>
      </c>
      <c r="AK27" s="173" t="str">
        <f t="shared" si="38"/>
        <v/>
      </c>
      <c r="AL27" s="169" t="str">
        <f t="shared" si="39"/>
        <v/>
      </c>
      <c r="AM27" s="169" t="str">
        <f t="shared" si="40"/>
        <v/>
      </c>
      <c r="AN27" s="169" t="str">
        <f t="shared" si="41"/>
        <v/>
      </c>
      <c r="AO27" s="169" t="str">
        <f t="shared" si="42"/>
        <v/>
      </c>
      <c r="AP27" s="169" t="str">
        <f t="shared" si="43"/>
        <v/>
      </c>
      <c r="AQ27" s="169" t="str">
        <f t="shared" si="44"/>
        <v/>
      </c>
      <c r="AR27" s="480" t="str">
        <f t="shared" si="45"/>
        <v/>
      </c>
      <c r="AS27" s="139">
        <f t="shared" si="3"/>
        <v>0</v>
      </c>
      <c r="AT27" s="397">
        <f t="shared" si="46"/>
        <v>10</v>
      </c>
      <c r="AU27" s="397"/>
      <c r="AV27" s="1309" t="s">
        <v>144</v>
      </c>
      <c r="AW27" s="1310"/>
      <c r="AX27" s="1311"/>
      <c r="AY27" s="174"/>
      <c r="AZ27" s="165"/>
      <c r="BA27" s="174"/>
      <c r="BB27" s="1309" t="s">
        <v>144</v>
      </c>
      <c r="BC27" s="1310"/>
      <c r="BD27" s="1311"/>
      <c r="BE27" s="174"/>
      <c r="BF27" s="165"/>
      <c r="BG27" s="174"/>
      <c r="BH27" s="1309" t="s">
        <v>144</v>
      </c>
      <c r="BI27" s="1310"/>
      <c r="BJ27" s="1311"/>
      <c r="BK27" s="174"/>
      <c r="BM27" s="174"/>
      <c r="BP27" s="1309" t="s">
        <v>144</v>
      </c>
      <c r="BQ27" s="1310"/>
      <c r="BR27" s="1311"/>
      <c r="BU27" s="836">
        <f t="shared" si="47"/>
        <v>0</v>
      </c>
      <c r="BV27" s="836">
        <f t="shared" si="4"/>
        <v>0</v>
      </c>
      <c r="BW27" s="836">
        <f t="shared" si="5"/>
        <v>1</v>
      </c>
      <c r="BX27" s="836">
        <f t="shared" si="6"/>
        <v>1</v>
      </c>
      <c r="BY27" s="836">
        <f t="shared" si="7"/>
        <v>0</v>
      </c>
      <c r="BZ27" s="836">
        <f t="shared" si="48"/>
        <v>0</v>
      </c>
      <c r="CA27" s="836">
        <f t="shared" si="49"/>
        <v>0</v>
      </c>
      <c r="CB27" s="836">
        <f t="shared" si="50"/>
        <v>0</v>
      </c>
      <c r="CC27" s="836">
        <f t="shared" si="8"/>
        <v>0</v>
      </c>
      <c r="CD27" s="836">
        <f t="shared" si="9"/>
        <v>0</v>
      </c>
      <c r="CE27" s="836">
        <f t="shared" si="10"/>
        <v>0</v>
      </c>
      <c r="CF27" s="836">
        <f t="shared" si="11"/>
        <v>0</v>
      </c>
    </row>
    <row r="28" spans="1:84">
      <c r="A28" s="166">
        <v>26</v>
      </c>
      <c r="B28" s="400" t="e">
        <f>SUMIF(#REF!,D28,#REF!)</f>
        <v>#REF!</v>
      </c>
      <c r="C28" s="137">
        <f>SUMIF(Draw!$B$3:$B$42,D28,Draw!$C$3:$C$42)</f>
        <v>17</v>
      </c>
      <c r="D28" s="138" t="str">
        <f t="shared" si="12"/>
        <v>Sergey Makarov</v>
      </c>
      <c r="E28" s="967">
        <f t="shared" si="13"/>
        <v>0</v>
      </c>
      <c r="F28" s="411">
        <f t="shared" si="14"/>
        <v>0</v>
      </c>
      <c r="G28" s="837">
        <f t="shared" si="15"/>
        <v>0</v>
      </c>
      <c r="H28" s="395" t="str">
        <f t="shared" si="16"/>
        <v/>
      </c>
      <c r="I28" s="410" t="str">
        <f t="shared" si="17"/>
        <v/>
      </c>
      <c r="J28" s="395" t="str">
        <f t="shared" si="18"/>
        <v/>
      </c>
      <c r="K28" s="410" t="str">
        <f t="shared" si="19"/>
        <v/>
      </c>
      <c r="L28" s="395" t="str">
        <f t="shared" si="20"/>
        <v/>
      </c>
      <c r="M28" s="410" t="str">
        <f t="shared" si="21"/>
        <v/>
      </c>
      <c r="N28" s="395" t="str">
        <f t="shared" si="22"/>
        <v/>
      </c>
      <c r="O28" s="410" t="str">
        <f t="shared" si="1"/>
        <v/>
      </c>
      <c r="P28" s="395" t="str">
        <f t="shared" si="2"/>
        <v/>
      </c>
      <c r="Q28" s="410" t="str">
        <f t="shared" si="23"/>
        <v/>
      </c>
      <c r="S28" s="987">
        <f t="shared" si="24"/>
        <v>0</v>
      </c>
      <c r="T28" s="987">
        <f t="shared" si="25"/>
        <v>0</v>
      </c>
      <c r="U28" s="987">
        <f t="shared" si="26"/>
        <v>3</v>
      </c>
      <c r="V28" s="987">
        <f t="shared" si="27"/>
        <v>4</v>
      </c>
      <c r="W28" s="987">
        <f t="shared" si="28"/>
        <v>0</v>
      </c>
      <c r="X28" s="987">
        <f t="shared" si="29"/>
        <v>0</v>
      </c>
      <c r="Y28" s="987">
        <f t="shared" si="30"/>
        <v>0</v>
      </c>
      <c r="Z28" s="987">
        <f t="shared" si="31"/>
        <v>0</v>
      </c>
      <c r="AA28" s="989">
        <f t="shared" si="32"/>
        <v>4</v>
      </c>
      <c r="AB28" s="160">
        <v>-76</v>
      </c>
      <c r="AC28" s="979">
        <f>RANK(AE28,$AE$3:$AE$42)+COUNTIF(AE$3:AE28,AE28)-1</f>
        <v>22</v>
      </c>
      <c r="AD28" s="990">
        <f>SUM((100-Draw!C28)/1000)+(AA28/100000)</f>
        <v>8.2040000000000002E-2</v>
      </c>
      <c r="AE28" s="167">
        <f t="shared" si="33"/>
        <v>1.0820400000000001</v>
      </c>
      <c r="AF28" s="168" t="str">
        <f>Draw!B28</f>
        <v>Ivan Bolshakov</v>
      </c>
      <c r="AG28" s="169" t="str">
        <f t="shared" si="34"/>
        <v/>
      </c>
      <c r="AH28" s="169" t="str">
        <f t="shared" si="35"/>
        <v/>
      </c>
      <c r="AI28" s="169">
        <f t="shared" si="36"/>
        <v>0</v>
      </c>
      <c r="AJ28" s="169">
        <f t="shared" si="37"/>
        <v>1</v>
      </c>
      <c r="AK28" s="173" t="str">
        <f t="shared" si="38"/>
        <v/>
      </c>
      <c r="AL28" s="169" t="str">
        <f t="shared" si="39"/>
        <v/>
      </c>
      <c r="AM28" s="169" t="str">
        <f t="shared" si="40"/>
        <v/>
      </c>
      <c r="AN28" s="169" t="str">
        <f t="shared" si="41"/>
        <v/>
      </c>
      <c r="AO28" s="169" t="str">
        <f t="shared" si="42"/>
        <v/>
      </c>
      <c r="AP28" s="169" t="str">
        <f t="shared" si="43"/>
        <v/>
      </c>
      <c r="AQ28" s="169" t="str">
        <f t="shared" si="44"/>
        <v/>
      </c>
      <c r="AR28" s="480" t="str">
        <f t="shared" si="45"/>
        <v/>
      </c>
      <c r="AS28" s="139">
        <f t="shared" si="3"/>
        <v>1</v>
      </c>
      <c r="AT28" s="397">
        <f t="shared" si="46"/>
        <v>10</v>
      </c>
      <c r="AU28" s="397"/>
      <c r="AV28" s="165"/>
      <c r="AW28" s="174"/>
      <c r="AX28" s="165"/>
      <c r="AY28" s="174"/>
      <c r="AZ28" s="165"/>
      <c r="BA28" s="174"/>
      <c r="BC28" s="174"/>
      <c r="BD28" s="165"/>
      <c r="BE28" s="174"/>
      <c r="BF28" s="165"/>
      <c r="BG28" s="174"/>
      <c r="BI28" s="174"/>
      <c r="BK28" s="174"/>
      <c r="BM28" s="174"/>
      <c r="BO28" s="174"/>
      <c r="BP28" s="174"/>
      <c r="BQ28" s="174"/>
      <c r="BR28" s="174"/>
      <c r="BS28" s="174"/>
      <c r="BU28" s="836">
        <f t="shared" si="47"/>
        <v>0</v>
      </c>
      <c r="BV28" s="836">
        <f t="shared" si="4"/>
        <v>0</v>
      </c>
      <c r="BW28" s="836">
        <f t="shared" si="5"/>
        <v>1</v>
      </c>
      <c r="BX28" s="836">
        <f t="shared" si="6"/>
        <v>1</v>
      </c>
      <c r="BY28" s="836">
        <f t="shared" si="7"/>
        <v>0</v>
      </c>
      <c r="BZ28" s="836">
        <f t="shared" si="48"/>
        <v>0</v>
      </c>
      <c r="CA28" s="836">
        <f t="shared" si="49"/>
        <v>0</v>
      </c>
      <c r="CB28" s="836">
        <f t="shared" si="50"/>
        <v>0</v>
      </c>
      <c r="CC28" s="836">
        <f t="shared" si="8"/>
        <v>0</v>
      </c>
      <c r="CD28" s="836">
        <f t="shared" si="9"/>
        <v>0</v>
      </c>
      <c r="CE28" s="836">
        <f t="shared" si="10"/>
        <v>0</v>
      </c>
      <c r="CF28" s="836">
        <f t="shared" si="11"/>
        <v>0</v>
      </c>
    </row>
    <row r="29" spans="1:84">
      <c r="A29" s="166">
        <v>27</v>
      </c>
      <c r="B29" s="400" t="e">
        <f>SUMIF(#REF!,D29,#REF!)</f>
        <v>#REF!</v>
      </c>
      <c r="C29" s="137">
        <f>SUMIF(Draw!$B$3:$B$42,D29,Draw!$C$3:$C$42)</f>
        <v>18</v>
      </c>
      <c r="D29" s="138" t="str">
        <f t="shared" si="12"/>
        <v>Max Niedermaier</v>
      </c>
      <c r="E29" s="967">
        <f t="shared" si="13"/>
        <v>0</v>
      </c>
      <c r="F29" s="411" t="str">
        <f t="shared" si="14"/>
        <v/>
      </c>
      <c r="G29" s="410" t="str">
        <f t="shared" si="15"/>
        <v/>
      </c>
      <c r="H29" s="395" t="str">
        <f t="shared" si="16"/>
        <v/>
      </c>
      <c r="I29" s="410" t="str">
        <f t="shared" si="17"/>
        <v/>
      </c>
      <c r="J29" s="395" t="str">
        <f t="shared" si="18"/>
        <v/>
      </c>
      <c r="K29" s="410" t="str">
        <f t="shared" si="19"/>
        <v/>
      </c>
      <c r="L29" s="395">
        <f t="shared" si="20"/>
        <v>0</v>
      </c>
      <c r="M29" s="410" t="str">
        <f t="shared" si="21"/>
        <v/>
      </c>
      <c r="N29" s="395" t="str">
        <f t="shared" si="22"/>
        <v/>
      </c>
      <c r="O29" s="410" t="str">
        <f t="shared" si="1"/>
        <v/>
      </c>
      <c r="P29" s="395" t="str">
        <f t="shared" si="2"/>
        <v/>
      </c>
      <c r="Q29" s="410" t="str">
        <f t="shared" si="23"/>
        <v/>
      </c>
      <c r="S29" s="987">
        <f t="shared" si="24"/>
        <v>0</v>
      </c>
      <c r="T29" s="987">
        <f t="shared" si="25"/>
        <v>0</v>
      </c>
      <c r="U29" s="987">
        <f t="shared" si="26"/>
        <v>0</v>
      </c>
      <c r="V29" s="987">
        <f t="shared" si="27"/>
        <v>0</v>
      </c>
      <c r="W29" s="987">
        <f t="shared" si="28"/>
        <v>5</v>
      </c>
      <c r="X29" s="987">
        <f t="shared" si="29"/>
        <v>6</v>
      </c>
      <c r="Y29" s="987">
        <f t="shared" si="30"/>
        <v>0</v>
      </c>
      <c r="Z29" s="987">
        <f t="shared" si="31"/>
        <v>0</v>
      </c>
      <c r="AA29" s="989">
        <f t="shared" si="32"/>
        <v>6</v>
      </c>
      <c r="AB29" s="160">
        <v>-77</v>
      </c>
      <c r="AC29" s="979">
        <f>RANK(AE29,$AE$3:$AE$42)+COUNTIF(AE$3:AE29,AE29)-1</f>
        <v>19</v>
      </c>
      <c r="AD29" s="990">
        <f>SUM((100-Draw!C29)/1000)+(AA29/100000)</f>
        <v>8.406000000000001E-2</v>
      </c>
      <c r="AE29" s="167">
        <f t="shared" si="33"/>
        <v>2.08406</v>
      </c>
      <c r="AF29" s="168" t="str">
        <f>Draw!B29</f>
        <v>Vladimir Cheblokov</v>
      </c>
      <c r="AG29" s="173" t="str">
        <f t="shared" si="34"/>
        <v/>
      </c>
      <c r="AH29" s="173" t="str">
        <f t="shared" si="35"/>
        <v/>
      </c>
      <c r="AI29" s="169" t="str">
        <f t="shared" si="36"/>
        <v/>
      </c>
      <c r="AJ29" s="169" t="str">
        <f t="shared" si="37"/>
        <v/>
      </c>
      <c r="AK29" s="169">
        <f t="shared" si="38"/>
        <v>1</v>
      </c>
      <c r="AL29" s="169">
        <f t="shared" si="39"/>
        <v>1</v>
      </c>
      <c r="AM29" s="169" t="str">
        <f t="shared" si="40"/>
        <v/>
      </c>
      <c r="AN29" s="169" t="str">
        <f t="shared" si="41"/>
        <v/>
      </c>
      <c r="AO29" s="169" t="str">
        <f t="shared" si="42"/>
        <v/>
      </c>
      <c r="AP29" s="169" t="str">
        <f t="shared" si="43"/>
        <v/>
      </c>
      <c r="AQ29" s="169" t="str">
        <f t="shared" si="44"/>
        <v/>
      </c>
      <c r="AR29" s="480" t="str">
        <f t="shared" si="45"/>
        <v/>
      </c>
      <c r="AS29" s="139">
        <f t="shared" si="3"/>
        <v>2</v>
      </c>
      <c r="AT29" s="397">
        <f t="shared" si="46"/>
        <v>10</v>
      </c>
      <c r="AU29" s="397"/>
      <c r="AV29" s="165"/>
      <c r="AW29" s="174"/>
      <c r="AX29" s="165"/>
      <c r="AY29" s="174"/>
      <c r="AZ29" s="165"/>
      <c r="BA29" s="174"/>
      <c r="BB29" s="165"/>
      <c r="BC29" s="174"/>
      <c r="BD29" s="165"/>
      <c r="BE29" s="174"/>
      <c r="BF29" s="165"/>
      <c r="BG29" s="174"/>
      <c r="BI29" s="174"/>
      <c r="BK29" s="174"/>
      <c r="BM29" s="174"/>
      <c r="BO29" s="174"/>
      <c r="BP29" s="174"/>
      <c r="BQ29" s="174"/>
      <c r="BR29" s="174"/>
      <c r="BS29" s="174"/>
      <c r="BU29" s="836">
        <f t="shared" si="47"/>
        <v>0</v>
      </c>
      <c r="BV29" s="836">
        <f t="shared" si="4"/>
        <v>0</v>
      </c>
      <c r="BW29" s="836">
        <f t="shared" si="5"/>
        <v>0</v>
      </c>
      <c r="BX29" s="836">
        <f t="shared" si="6"/>
        <v>0</v>
      </c>
      <c r="BY29" s="836">
        <f t="shared" si="7"/>
        <v>1</v>
      </c>
      <c r="BZ29" s="836">
        <f t="shared" si="48"/>
        <v>1</v>
      </c>
      <c r="CA29" s="836">
        <f t="shared" si="49"/>
        <v>0</v>
      </c>
      <c r="CB29" s="836">
        <f t="shared" si="50"/>
        <v>0</v>
      </c>
      <c r="CC29" s="836">
        <f t="shared" si="8"/>
        <v>0</v>
      </c>
      <c r="CD29" s="836">
        <f t="shared" si="9"/>
        <v>0</v>
      </c>
      <c r="CE29" s="836">
        <f t="shared" si="10"/>
        <v>0</v>
      </c>
      <c r="CF29" s="836">
        <f t="shared" si="11"/>
        <v>0</v>
      </c>
    </row>
    <row r="30" spans="1:84">
      <c r="A30" s="166">
        <v>28</v>
      </c>
      <c r="B30" s="400" t="e">
        <f>SUMIF(#REF!,D30,#REF!)</f>
        <v>#REF!</v>
      </c>
      <c r="C30" s="137">
        <f>SUMIF(Draw!$B$3:$B$42,D30,Draw!$C$3:$C$42)</f>
        <v>18</v>
      </c>
      <c r="D30" s="138" t="str">
        <f t="shared" si="12"/>
        <v>Denis Slepukhin</v>
      </c>
      <c r="E30" s="967">
        <f t="shared" si="13"/>
        <v>0</v>
      </c>
      <c r="F30" s="395" t="str">
        <f t="shared" si="14"/>
        <v/>
      </c>
      <c r="G30" s="837" t="str">
        <f t="shared" si="15"/>
        <v/>
      </c>
      <c r="H30" s="395" t="str">
        <f t="shared" si="16"/>
        <v/>
      </c>
      <c r="I30" s="410" t="str">
        <f t="shared" si="17"/>
        <v/>
      </c>
      <c r="J30" s="395">
        <f t="shared" si="18"/>
        <v>0</v>
      </c>
      <c r="K30" s="410">
        <f t="shared" si="19"/>
        <v>0</v>
      </c>
      <c r="L30" s="395" t="str">
        <f t="shared" si="20"/>
        <v/>
      </c>
      <c r="M30" s="410" t="str">
        <f t="shared" si="21"/>
        <v/>
      </c>
      <c r="N30" s="395" t="str">
        <f t="shared" si="22"/>
        <v/>
      </c>
      <c r="O30" s="410" t="str">
        <f t="shared" si="1"/>
        <v/>
      </c>
      <c r="P30" s="395" t="str">
        <f t="shared" si="2"/>
        <v/>
      </c>
      <c r="Q30" s="410" t="str">
        <f t="shared" si="23"/>
        <v/>
      </c>
      <c r="S30" s="987">
        <f t="shared" si="24"/>
        <v>0</v>
      </c>
      <c r="T30" s="987">
        <f t="shared" si="25"/>
        <v>0</v>
      </c>
      <c r="U30" s="987">
        <f t="shared" si="26"/>
        <v>0</v>
      </c>
      <c r="V30" s="987">
        <f t="shared" si="27"/>
        <v>0</v>
      </c>
      <c r="W30" s="987">
        <f t="shared" si="28"/>
        <v>5</v>
      </c>
      <c r="X30" s="987">
        <f t="shared" si="29"/>
        <v>6</v>
      </c>
      <c r="Y30" s="987">
        <f t="shared" si="30"/>
        <v>0</v>
      </c>
      <c r="Z30" s="987">
        <f t="shared" si="31"/>
        <v>0</v>
      </c>
      <c r="AA30" s="989">
        <f t="shared" si="32"/>
        <v>6</v>
      </c>
      <c r="AB30" s="160">
        <v>-78</v>
      </c>
      <c r="AC30" s="979">
        <f>RANK(AE30,$AE$3:$AE$42)+COUNTIF(AE$3:AE30,AE30)-1</f>
        <v>21</v>
      </c>
      <c r="AD30" s="990">
        <f>SUM((100-Draw!C30)/1000)+(AA30/100000)</f>
        <v>8.3060000000000009E-2</v>
      </c>
      <c r="AE30" s="167">
        <f t="shared" si="33"/>
        <v>1.0830599999999999</v>
      </c>
      <c r="AF30" s="168" t="str">
        <f>Draw!B30</f>
        <v>Pavel Nekrassov</v>
      </c>
      <c r="AG30" s="169" t="str">
        <f t="shared" si="34"/>
        <v/>
      </c>
      <c r="AH30" s="173" t="str">
        <f t="shared" si="35"/>
        <v/>
      </c>
      <c r="AI30" s="169" t="str">
        <f t="shared" si="36"/>
        <v/>
      </c>
      <c r="AJ30" s="169" t="str">
        <f t="shared" si="37"/>
        <v/>
      </c>
      <c r="AK30" s="169">
        <f t="shared" si="38"/>
        <v>1</v>
      </c>
      <c r="AL30" s="169">
        <f t="shared" si="39"/>
        <v>0</v>
      </c>
      <c r="AM30" s="169" t="str">
        <f t="shared" si="40"/>
        <v/>
      </c>
      <c r="AN30" s="169" t="str">
        <f t="shared" si="41"/>
        <v/>
      </c>
      <c r="AO30" s="169" t="str">
        <f t="shared" si="42"/>
        <v/>
      </c>
      <c r="AP30" s="169" t="str">
        <f t="shared" si="43"/>
        <v/>
      </c>
      <c r="AQ30" s="169" t="str">
        <f t="shared" si="44"/>
        <v/>
      </c>
      <c r="AR30" s="480" t="str">
        <f t="shared" si="45"/>
        <v/>
      </c>
      <c r="AS30" s="139">
        <f t="shared" si="3"/>
        <v>1</v>
      </c>
      <c r="AT30" s="397">
        <f t="shared" si="46"/>
        <v>10</v>
      </c>
      <c r="AU30" s="397"/>
      <c r="AV30" s="165"/>
      <c r="AW30" s="174"/>
      <c r="AX30" s="165"/>
      <c r="AY30" s="174"/>
      <c r="AZ30" s="165"/>
      <c r="BA30" s="174"/>
      <c r="BB30" s="165"/>
      <c r="BC30" s="174"/>
      <c r="BD30" s="165"/>
      <c r="BE30" s="174"/>
      <c r="BF30" s="165"/>
      <c r="BG30" s="174"/>
      <c r="BI30" s="174"/>
      <c r="BK30" s="174"/>
      <c r="BM30" s="174"/>
      <c r="BO30" s="174"/>
      <c r="BP30" s="174"/>
      <c r="BQ30" s="174"/>
      <c r="BR30" s="174"/>
      <c r="BS30" s="174"/>
      <c r="BU30" s="836">
        <f t="shared" si="47"/>
        <v>0</v>
      </c>
      <c r="BV30" s="836">
        <f t="shared" si="4"/>
        <v>0</v>
      </c>
      <c r="BW30" s="836">
        <f t="shared" si="5"/>
        <v>0</v>
      </c>
      <c r="BX30" s="836">
        <f t="shared" si="6"/>
        <v>0</v>
      </c>
      <c r="BY30" s="836">
        <f t="shared" si="7"/>
        <v>1</v>
      </c>
      <c r="BZ30" s="836">
        <f t="shared" si="48"/>
        <v>1</v>
      </c>
      <c r="CA30" s="836">
        <f t="shared" si="49"/>
        <v>0</v>
      </c>
      <c r="CB30" s="836">
        <f t="shared" si="50"/>
        <v>0</v>
      </c>
      <c r="CC30" s="836">
        <f t="shared" si="8"/>
        <v>0</v>
      </c>
      <c r="CD30" s="836">
        <f t="shared" si="9"/>
        <v>0</v>
      </c>
      <c r="CE30" s="836">
        <f t="shared" si="10"/>
        <v>0</v>
      </c>
      <c r="CF30" s="836">
        <f t="shared" si="11"/>
        <v>0</v>
      </c>
    </row>
    <row r="31" spans="1:84">
      <c r="A31" s="166">
        <v>29</v>
      </c>
      <c r="B31" s="400" t="e">
        <f>SUMIF(#REF!,D31,#REF!)</f>
        <v>#REF!</v>
      </c>
      <c r="C31" s="137">
        <f>SUMIF(Draw!$B$3:$B$42,D31,Draw!$C$3:$C$42)</f>
        <v>18</v>
      </c>
      <c r="D31" s="138" t="str">
        <f t="shared" si="12"/>
        <v>Aleksey Kolganov</v>
      </c>
      <c r="E31" s="967">
        <f t="shared" si="13"/>
        <v>0</v>
      </c>
      <c r="F31" s="395">
        <f t="shared" si="14"/>
        <v>0</v>
      </c>
      <c r="G31" s="410">
        <f t="shared" si="15"/>
        <v>0</v>
      </c>
      <c r="H31" s="395" t="str">
        <f t="shared" si="16"/>
        <v/>
      </c>
      <c r="I31" s="410" t="str">
        <f t="shared" si="17"/>
        <v/>
      </c>
      <c r="J31" s="395" t="str">
        <f t="shared" si="18"/>
        <v/>
      </c>
      <c r="K31" s="410" t="str">
        <f t="shared" si="19"/>
        <v/>
      </c>
      <c r="L31" s="395" t="str">
        <f t="shared" si="20"/>
        <v/>
      </c>
      <c r="M31" s="410" t="str">
        <f t="shared" si="21"/>
        <v/>
      </c>
      <c r="N31" s="395" t="str">
        <f t="shared" si="22"/>
        <v/>
      </c>
      <c r="O31" s="410" t="str">
        <f t="shared" si="1"/>
        <v/>
      </c>
      <c r="P31" s="395" t="str">
        <f t="shared" si="2"/>
        <v/>
      </c>
      <c r="Q31" s="410" t="str">
        <f t="shared" si="23"/>
        <v/>
      </c>
      <c r="S31" s="987">
        <f t="shared" si="24"/>
        <v>0</v>
      </c>
      <c r="T31" s="987">
        <f t="shared" si="25"/>
        <v>0</v>
      </c>
      <c r="U31" s="987">
        <f t="shared" si="26"/>
        <v>0</v>
      </c>
      <c r="V31" s="987">
        <f t="shared" si="27"/>
        <v>0</v>
      </c>
      <c r="W31" s="987">
        <f t="shared" si="28"/>
        <v>5</v>
      </c>
      <c r="X31" s="987">
        <f t="shared" si="29"/>
        <v>6</v>
      </c>
      <c r="Y31" s="987">
        <f t="shared" si="30"/>
        <v>0</v>
      </c>
      <c r="Z31" s="987">
        <f t="shared" si="31"/>
        <v>0</v>
      </c>
      <c r="AA31" s="989">
        <f t="shared" si="32"/>
        <v>6</v>
      </c>
      <c r="AB31" s="160">
        <v>-79</v>
      </c>
      <c r="AC31" s="979">
        <f>RANK(AE31,$AE$3:$AE$42)+COUNTIF(AE$3:AE31,AE31)-1</f>
        <v>28</v>
      </c>
      <c r="AD31" s="990">
        <f>SUM((100-Draw!C31)/1000)+(AA31/100000)</f>
        <v>8.2060000000000008E-2</v>
      </c>
      <c r="AE31" s="167">
        <f t="shared" si="33"/>
        <v>8.2060000000000008E-2</v>
      </c>
      <c r="AF31" s="168" t="str">
        <f>Draw!B31</f>
        <v>Denis Slepukhin</v>
      </c>
      <c r="AG31" s="169" t="str">
        <f t="shared" si="34"/>
        <v/>
      </c>
      <c r="AH31" s="169" t="str">
        <f t="shared" si="35"/>
        <v/>
      </c>
      <c r="AI31" s="169" t="str">
        <f t="shared" si="36"/>
        <v/>
      </c>
      <c r="AJ31" s="169" t="str">
        <f t="shared" si="37"/>
        <v/>
      </c>
      <c r="AK31" s="173">
        <f t="shared" si="38"/>
        <v>0</v>
      </c>
      <c r="AL31" s="169">
        <f t="shared" si="39"/>
        <v>0</v>
      </c>
      <c r="AM31" s="169" t="str">
        <f t="shared" si="40"/>
        <v/>
      </c>
      <c r="AN31" s="169" t="str">
        <f t="shared" si="41"/>
        <v/>
      </c>
      <c r="AO31" s="169" t="str">
        <f t="shared" si="42"/>
        <v/>
      </c>
      <c r="AP31" s="169" t="str">
        <f t="shared" si="43"/>
        <v/>
      </c>
      <c r="AQ31" s="169" t="str">
        <f t="shared" si="44"/>
        <v/>
      </c>
      <c r="AR31" s="480" t="str">
        <f t="shared" si="45"/>
        <v/>
      </c>
      <c r="AS31" s="139">
        <f t="shared" si="3"/>
        <v>0</v>
      </c>
      <c r="AT31" s="397">
        <f t="shared" si="46"/>
        <v>10</v>
      </c>
      <c r="AU31" s="397"/>
      <c r="AV31" s="165"/>
      <c r="AW31" s="174"/>
      <c r="AX31" s="165"/>
      <c r="AY31" s="174"/>
      <c r="AZ31" s="165"/>
      <c r="BA31" s="174"/>
      <c r="BB31" s="165"/>
      <c r="BC31" s="174"/>
      <c r="BD31" s="165"/>
      <c r="BE31" s="174"/>
      <c r="BF31" s="165"/>
      <c r="BG31" s="174"/>
      <c r="BI31" s="174"/>
      <c r="BK31" s="174"/>
      <c r="BM31" s="174"/>
      <c r="BO31" s="174"/>
      <c r="BP31" s="174"/>
      <c r="BQ31" s="174"/>
      <c r="BR31" s="174"/>
      <c r="BS31" s="174"/>
      <c r="BU31" s="836">
        <f t="shared" si="47"/>
        <v>0</v>
      </c>
      <c r="BV31" s="836">
        <f t="shared" si="4"/>
        <v>0</v>
      </c>
      <c r="BW31" s="836">
        <f t="shared" si="5"/>
        <v>0</v>
      </c>
      <c r="BX31" s="836">
        <f t="shared" si="6"/>
        <v>0</v>
      </c>
      <c r="BY31" s="836">
        <f t="shared" si="7"/>
        <v>1</v>
      </c>
      <c r="BZ31" s="836">
        <f t="shared" si="48"/>
        <v>1</v>
      </c>
      <c r="CA31" s="836">
        <f t="shared" si="49"/>
        <v>0</v>
      </c>
      <c r="CB31" s="836">
        <f t="shared" si="50"/>
        <v>0</v>
      </c>
      <c r="CC31" s="836">
        <f t="shared" si="8"/>
        <v>0</v>
      </c>
      <c r="CD31" s="836">
        <f t="shared" si="9"/>
        <v>0</v>
      </c>
      <c r="CE31" s="836">
        <f t="shared" si="10"/>
        <v>0</v>
      </c>
      <c r="CF31" s="836">
        <f t="shared" si="11"/>
        <v>0</v>
      </c>
    </row>
    <row r="32" spans="1:84">
      <c r="A32" s="166">
        <v>30</v>
      </c>
      <c r="B32" s="400" t="e">
        <f>SUMIF(#REF!,D32,#REF!)</f>
        <v>#REF!</v>
      </c>
      <c r="C32" s="137">
        <f>SUMIF(Draw!$B$3:$B$42,D32,Draw!$C$3:$C$42)</f>
        <v>21</v>
      </c>
      <c r="D32" s="138" t="str">
        <f t="shared" si="12"/>
        <v>Jimmy Olsen</v>
      </c>
      <c r="E32" s="967" t="str">
        <f t="shared" si="13"/>
        <v/>
      </c>
      <c r="F32" s="395" t="str">
        <f t="shared" si="14"/>
        <v/>
      </c>
      <c r="G32" s="410" t="str">
        <f t="shared" si="15"/>
        <v/>
      </c>
      <c r="H32" s="395" t="str">
        <f t="shared" si="16"/>
        <v/>
      </c>
      <c r="I32" s="410" t="str">
        <f t="shared" si="17"/>
        <v/>
      </c>
      <c r="J32" s="395" t="str">
        <f t="shared" si="18"/>
        <v/>
      </c>
      <c r="K32" s="410" t="str">
        <f t="shared" si="19"/>
        <v/>
      </c>
      <c r="L32" s="395" t="str">
        <f t="shared" si="20"/>
        <v/>
      </c>
      <c r="M32" s="410" t="str">
        <f t="shared" si="21"/>
        <v/>
      </c>
      <c r="N32" s="395" t="str">
        <f t="shared" si="22"/>
        <v/>
      </c>
      <c r="O32" s="410" t="str">
        <f t="shared" si="1"/>
        <v/>
      </c>
      <c r="P32" s="395" t="str">
        <f t="shared" si="2"/>
        <v/>
      </c>
      <c r="Q32" s="410" t="str">
        <f t="shared" si="23"/>
        <v/>
      </c>
      <c r="S32" s="987">
        <f t="shared" si="24"/>
        <v>0</v>
      </c>
      <c r="T32" s="987">
        <f t="shared" si="25"/>
        <v>0</v>
      </c>
      <c r="U32" s="987">
        <f t="shared" si="26"/>
        <v>0</v>
      </c>
      <c r="V32" s="987">
        <f t="shared" si="27"/>
        <v>0</v>
      </c>
      <c r="W32" s="987">
        <f t="shared" si="28"/>
        <v>0</v>
      </c>
      <c r="X32" s="987">
        <f t="shared" si="29"/>
        <v>0</v>
      </c>
      <c r="Y32" s="987">
        <f t="shared" si="30"/>
        <v>7</v>
      </c>
      <c r="Z32" s="987">
        <f t="shared" si="31"/>
        <v>0</v>
      </c>
      <c r="AA32" s="989">
        <f t="shared" si="32"/>
        <v>7</v>
      </c>
      <c r="AB32" s="160">
        <v>-80</v>
      </c>
      <c r="AC32" s="979">
        <f>RANK(AE32,$AE$3:$AE$42)+COUNTIF(AE$3:AE32,AE32)-1</f>
        <v>23</v>
      </c>
      <c r="AD32" s="990">
        <f>SUM((100-Draw!C32)/1000)+(AA32/100000)</f>
        <v>8.4070000000000006E-2</v>
      </c>
      <c r="AE32" s="167">
        <f t="shared" si="33"/>
        <v>8.4070000000000006E-2</v>
      </c>
      <c r="AF32" s="168" t="str">
        <f>Draw!B32</f>
        <v>Rene Stellingwerf</v>
      </c>
      <c r="AG32" s="169" t="str">
        <f t="shared" si="34"/>
        <v/>
      </c>
      <c r="AH32" s="169" t="str">
        <f t="shared" si="35"/>
        <v/>
      </c>
      <c r="AI32" s="169" t="str">
        <f t="shared" si="36"/>
        <v/>
      </c>
      <c r="AJ32" s="169" t="str">
        <f t="shared" si="37"/>
        <v/>
      </c>
      <c r="AK32" s="173" t="str">
        <f t="shared" si="38"/>
        <v/>
      </c>
      <c r="AL32" s="169" t="str">
        <f t="shared" si="39"/>
        <v/>
      </c>
      <c r="AM32" s="169">
        <f t="shared" si="40"/>
        <v>0</v>
      </c>
      <c r="AN32" s="169" t="str">
        <f t="shared" si="41"/>
        <v/>
      </c>
      <c r="AO32" s="169" t="str">
        <f t="shared" si="42"/>
        <v/>
      </c>
      <c r="AP32" s="169" t="str">
        <f t="shared" si="43"/>
        <v/>
      </c>
      <c r="AQ32" s="169" t="str">
        <f t="shared" si="44"/>
        <v/>
      </c>
      <c r="AR32" s="480" t="str">
        <f t="shared" si="45"/>
        <v/>
      </c>
      <c r="AS32" s="139">
        <f t="shared" si="3"/>
        <v>0</v>
      </c>
      <c r="AT32" s="397">
        <f t="shared" si="46"/>
        <v>11</v>
      </c>
      <c r="AU32" s="397"/>
      <c r="AV32" s="165"/>
      <c r="AW32" s="174"/>
      <c r="AX32" s="165"/>
      <c r="AY32" s="174"/>
      <c r="AZ32" s="165"/>
      <c r="BA32" s="174"/>
      <c r="BB32" s="165"/>
      <c r="BC32" s="174"/>
      <c r="BD32" s="165"/>
      <c r="BE32" s="174"/>
      <c r="BF32" s="165"/>
      <c r="BG32" s="174"/>
      <c r="BI32" s="174"/>
      <c r="BK32" s="174"/>
      <c r="BM32" s="174"/>
      <c r="BO32" s="174"/>
      <c r="BP32" s="174"/>
      <c r="BQ32" s="174"/>
      <c r="BR32" s="174"/>
      <c r="BS32" s="174"/>
      <c r="BU32" s="836">
        <f t="shared" si="47"/>
        <v>0</v>
      </c>
      <c r="BV32" s="836">
        <f t="shared" si="4"/>
        <v>0</v>
      </c>
      <c r="BW32" s="836">
        <f t="shared" si="5"/>
        <v>0</v>
      </c>
      <c r="BX32" s="836">
        <f t="shared" si="6"/>
        <v>0</v>
      </c>
      <c r="BY32" s="836">
        <f t="shared" si="7"/>
        <v>0</v>
      </c>
      <c r="BZ32" s="836">
        <f t="shared" si="48"/>
        <v>0</v>
      </c>
      <c r="CA32" s="836">
        <f t="shared" si="49"/>
        <v>1</v>
      </c>
      <c r="CB32" s="836">
        <f t="shared" si="50"/>
        <v>0</v>
      </c>
      <c r="CC32" s="836">
        <f t="shared" si="8"/>
        <v>0</v>
      </c>
      <c r="CD32" s="836">
        <f t="shared" si="9"/>
        <v>0</v>
      </c>
      <c r="CE32" s="836">
        <f t="shared" si="10"/>
        <v>0</v>
      </c>
      <c r="CF32" s="836">
        <f t="shared" si="11"/>
        <v>0</v>
      </c>
    </row>
    <row r="33" spans="1:84">
      <c r="A33" s="166">
        <v>31</v>
      </c>
      <c r="B33" s="400" t="e">
        <f>SUMIF(#REF!,D33,#REF!)</f>
        <v>#REF!</v>
      </c>
      <c r="C33" s="137">
        <f>SUMIF(Draw!$B$3:$B$42,D33,Draw!$C$3:$C$42)</f>
        <v>22</v>
      </c>
      <c r="D33" s="138" t="str">
        <f t="shared" si="12"/>
        <v>Ove Ledstrom</v>
      </c>
      <c r="E33" s="967" t="str">
        <f t="shared" si="13"/>
        <v/>
      </c>
      <c r="F33" s="411" t="str">
        <f t="shared" si="14"/>
        <v/>
      </c>
      <c r="G33" s="837" t="str">
        <f t="shared" si="15"/>
        <v/>
      </c>
      <c r="H33" s="411" t="str">
        <f t="shared" si="16"/>
        <v/>
      </c>
      <c r="I33" s="410" t="str">
        <f t="shared" si="17"/>
        <v/>
      </c>
      <c r="J33" s="411" t="str">
        <f t="shared" si="18"/>
        <v/>
      </c>
      <c r="K33" s="410" t="str">
        <f t="shared" si="19"/>
        <v/>
      </c>
      <c r="L33" s="411" t="str">
        <f t="shared" si="20"/>
        <v/>
      </c>
      <c r="M33" s="410" t="str">
        <f t="shared" si="21"/>
        <v/>
      </c>
      <c r="N33" s="411" t="str">
        <f t="shared" si="22"/>
        <v/>
      </c>
      <c r="O33" s="410" t="str">
        <f t="shared" si="1"/>
        <v/>
      </c>
      <c r="P33" s="411" t="str">
        <f t="shared" si="2"/>
        <v/>
      </c>
      <c r="Q33" s="410" t="str">
        <f t="shared" si="23"/>
        <v/>
      </c>
      <c r="S33" s="987">
        <f t="shared" si="24"/>
        <v>0</v>
      </c>
      <c r="T33" s="987">
        <f t="shared" si="25"/>
        <v>0</v>
      </c>
      <c r="U33" s="987">
        <f t="shared" si="26"/>
        <v>0</v>
      </c>
      <c r="V33" s="987">
        <f t="shared" si="27"/>
        <v>0</v>
      </c>
      <c r="W33" s="987">
        <f t="shared" si="28"/>
        <v>0</v>
      </c>
      <c r="X33" s="987">
        <f t="shared" si="29"/>
        <v>0</v>
      </c>
      <c r="Y33" s="987">
        <f t="shared" si="30"/>
        <v>7</v>
      </c>
      <c r="Z33" s="987">
        <f t="shared" si="31"/>
        <v>0</v>
      </c>
      <c r="AA33" s="989">
        <f t="shared" si="32"/>
        <v>7</v>
      </c>
      <c r="AB33" s="160">
        <v>-81</v>
      </c>
      <c r="AC33" s="979">
        <f>RANK(AE33,$AE$3:$AE$42)+COUNTIF(AE$3:AE33,AE33)-1</f>
        <v>24</v>
      </c>
      <c r="AD33" s="990">
        <f>SUM((100-Draw!C33)/1000)+(AA33/100000)</f>
        <v>8.3070000000000005E-2</v>
      </c>
      <c r="AE33" s="167">
        <f t="shared" si="33"/>
        <v>8.3070000000000005E-2</v>
      </c>
      <c r="AF33" s="168" t="str">
        <f>Draw!B33</f>
        <v>Simon Reitsma</v>
      </c>
      <c r="AG33" s="173" t="str">
        <f t="shared" si="34"/>
        <v/>
      </c>
      <c r="AH33" s="173" t="str">
        <f t="shared" si="35"/>
        <v/>
      </c>
      <c r="AI33" s="173" t="str">
        <f t="shared" si="36"/>
        <v/>
      </c>
      <c r="AJ33" s="169" t="str">
        <f t="shared" si="37"/>
        <v/>
      </c>
      <c r="AK33" s="173" t="str">
        <f t="shared" si="38"/>
        <v/>
      </c>
      <c r="AL33" s="169" t="str">
        <f t="shared" si="39"/>
        <v/>
      </c>
      <c r="AM33" s="169">
        <f t="shared" si="40"/>
        <v>0</v>
      </c>
      <c r="AN33" s="169" t="str">
        <f t="shared" si="41"/>
        <v/>
      </c>
      <c r="AO33" s="169" t="str">
        <f t="shared" si="42"/>
        <v/>
      </c>
      <c r="AP33" s="169" t="str">
        <f t="shared" si="43"/>
        <v/>
      </c>
      <c r="AQ33" s="169" t="str">
        <f t="shared" si="44"/>
        <v/>
      </c>
      <c r="AR33" s="480" t="str">
        <f t="shared" si="45"/>
        <v/>
      </c>
      <c r="AS33" s="139">
        <f t="shared" si="3"/>
        <v>0</v>
      </c>
      <c r="AT33" s="397">
        <f t="shared" si="46"/>
        <v>11</v>
      </c>
      <c r="AU33" s="397"/>
      <c r="AV33" s="165"/>
      <c r="AW33" s="174"/>
      <c r="AX33" s="165"/>
      <c r="AY33" s="174"/>
      <c r="AZ33" s="165"/>
      <c r="BA33" s="174"/>
      <c r="BB33" s="165"/>
      <c r="BC33" s="174"/>
      <c r="BD33" s="165"/>
      <c r="BE33" s="174"/>
      <c r="BF33" s="165"/>
      <c r="BG33" s="174"/>
      <c r="BI33" s="174"/>
      <c r="BK33" s="174"/>
      <c r="BM33" s="174"/>
      <c r="BO33" s="174"/>
      <c r="BP33" s="174"/>
      <c r="BQ33" s="174"/>
      <c r="BR33" s="174"/>
      <c r="BS33" s="174"/>
      <c r="BU33" s="836">
        <f t="shared" si="47"/>
        <v>0</v>
      </c>
      <c r="BV33" s="836">
        <f t="shared" si="4"/>
        <v>0</v>
      </c>
      <c r="BW33" s="836">
        <f t="shared" si="5"/>
        <v>0</v>
      </c>
      <c r="BX33" s="836">
        <f t="shared" si="6"/>
        <v>0</v>
      </c>
      <c r="BY33" s="836">
        <f t="shared" si="7"/>
        <v>0</v>
      </c>
      <c r="BZ33" s="836">
        <f t="shared" si="48"/>
        <v>0</v>
      </c>
      <c r="CA33" s="836">
        <f t="shared" si="49"/>
        <v>1</v>
      </c>
      <c r="CB33" s="836">
        <f t="shared" si="50"/>
        <v>0</v>
      </c>
      <c r="CC33" s="836">
        <f t="shared" si="8"/>
        <v>0</v>
      </c>
      <c r="CD33" s="836">
        <f t="shared" si="9"/>
        <v>0</v>
      </c>
      <c r="CE33" s="836">
        <f t="shared" si="10"/>
        <v>0</v>
      </c>
      <c r="CF33" s="836">
        <f t="shared" si="11"/>
        <v>0</v>
      </c>
    </row>
    <row r="34" spans="1:84">
      <c r="A34" s="166">
        <v>32</v>
      </c>
      <c r="B34" s="400" t="e">
        <f>SUMIF(#REF!,D34,#REF!)</f>
        <v>#REF!</v>
      </c>
      <c r="C34" s="137">
        <f>SUMIF(Draw!$B$3:$B$42,D34,Draw!$C$3:$C$42)</f>
        <v>0</v>
      </c>
      <c r="D34" s="138" t="str">
        <f t="shared" si="12"/>
        <v>Wild Card / TR 12</v>
      </c>
      <c r="E34" s="967" t="str">
        <f t="shared" si="13"/>
        <v/>
      </c>
      <c r="F34" s="411" t="str">
        <f t="shared" si="14"/>
        <v/>
      </c>
      <c r="G34" s="837" t="str">
        <f t="shared" si="15"/>
        <v/>
      </c>
      <c r="H34" s="411" t="str">
        <f t="shared" si="16"/>
        <v/>
      </c>
      <c r="I34" s="410" t="str">
        <f t="shared" si="17"/>
        <v/>
      </c>
      <c r="J34" s="411" t="str">
        <f t="shared" si="18"/>
        <v/>
      </c>
      <c r="K34" s="410" t="str">
        <f t="shared" si="19"/>
        <v/>
      </c>
      <c r="L34" s="411" t="str">
        <f t="shared" si="20"/>
        <v/>
      </c>
      <c r="M34" s="410" t="str">
        <f t="shared" si="21"/>
        <v/>
      </c>
      <c r="N34" s="411" t="str">
        <f t="shared" si="22"/>
        <v/>
      </c>
      <c r="O34" s="410" t="str">
        <f t="shared" si="1"/>
        <v/>
      </c>
      <c r="P34" s="411" t="str">
        <f t="shared" si="2"/>
        <v/>
      </c>
      <c r="Q34" s="410" t="str">
        <f t="shared" si="23"/>
        <v/>
      </c>
      <c r="S34" s="987">
        <f t="shared" si="24"/>
        <v>0</v>
      </c>
      <c r="T34" s="987">
        <f t="shared" si="25"/>
        <v>0</v>
      </c>
      <c r="U34" s="987">
        <f t="shared" si="26"/>
        <v>0</v>
      </c>
      <c r="V34" s="987">
        <f t="shared" si="27"/>
        <v>0</v>
      </c>
      <c r="W34" s="987">
        <f t="shared" si="28"/>
        <v>0</v>
      </c>
      <c r="X34" s="987">
        <f t="shared" si="29"/>
        <v>0</v>
      </c>
      <c r="Y34" s="987">
        <f t="shared" si="30"/>
        <v>0</v>
      </c>
      <c r="Z34" s="987">
        <f t="shared" si="31"/>
        <v>0</v>
      </c>
      <c r="AA34" s="989">
        <f t="shared" si="32"/>
        <v>0</v>
      </c>
      <c r="AB34" s="160">
        <v>-82</v>
      </c>
      <c r="AC34" s="980">
        <f>RANK(AE34,$AE$3:$AE$42)+COUNTIF(AE$3:AE34,AE34)-1</f>
        <v>32</v>
      </c>
      <c r="AD34" s="990">
        <f>SUM((100-Draw!C34)/1000)+(AA34/100000)</f>
        <v>0.1</v>
      </c>
      <c r="AE34" s="175">
        <f t="shared" si="33"/>
        <v>-82</v>
      </c>
      <c r="AF34" s="171" t="str">
        <f>Draw!B34</f>
        <v>Wild Card / TR 12</v>
      </c>
      <c r="AG34" s="173" t="str">
        <f t="shared" si="34"/>
        <v/>
      </c>
      <c r="AH34" s="173" t="str">
        <f t="shared" si="35"/>
        <v/>
      </c>
      <c r="AI34" s="169" t="str">
        <f t="shared" si="36"/>
        <v/>
      </c>
      <c r="AJ34" s="169" t="str">
        <f t="shared" si="37"/>
        <v/>
      </c>
      <c r="AK34" s="169" t="str">
        <f t="shared" si="38"/>
        <v/>
      </c>
      <c r="AL34" s="169" t="str">
        <f t="shared" si="39"/>
        <v/>
      </c>
      <c r="AM34" s="169" t="str">
        <f t="shared" si="40"/>
        <v/>
      </c>
      <c r="AN34" s="169" t="str">
        <f t="shared" si="41"/>
        <v/>
      </c>
      <c r="AO34" s="169" t="str">
        <f t="shared" si="42"/>
        <v/>
      </c>
      <c r="AP34" s="169" t="str">
        <f t="shared" si="43"/>
        <v/>
      </c>
      <c r="AQ34" s="169" t="str">
        <f t="shared" si="44"/>
        <v/>
      </c>
      <c r="AR34" s="480" t="str">
        <f t="shared" si="45"/>
        <v/>
      </c>
      <c r="AS34" s="139" t="str">
        <f t="shared" si="3"/>
        <v/>
      </c>
      <c r="AT34" s="397">
        <f t="shared" si="46"/>
        <v>12</v>
      </c>
      <c r="AU34" s="397"/>
      <c r="BU34" s="836">
        <f t="shared" si="47"/>
        <v>0</v>
      </c>
      <c r="BV34" s="836">
        <f t="shared" si="4"/>
        <v>0</v>
      </c>
      <c r="BW34" s="836">
        <f t="shared" si="5"/>
        <v>0</v>
      </c>
      <c r="BX34" s="836">
        <f t="shared" si="6"/>
        <v>0</v>
      </c>
      <c r="BY34" s="836">
        <f t="shared" si="7"/>
        <v>0</v>
      </c>
      <c r="BZ34" s="836">
        <f t="shared" si="48"/>
        <v>0</v>
      </c>
      <c r="CA34" s="836">
        <f t="shared" si="49"/>
        <v>0</v>
      </c>
      <c r="CB34" s="836">
        <f t="shared" si="50"/>
        <v>0</v>
      </c>
      <c r="CC34" s="836">
        <f t="shared" si="8"/>
        <v>0</v>
      </c>
      <c r="CD34" s="836">
        <f t="shared" si="9"/>
        <v>0</v>
      </c>
      <c r="CE34" s="836">
        <f t="shared" si="10"/>
        <v>0</v>
      </c>
      <c r="CF34" s="836">
        <f t="shared" si="11"/>
        <v>0</v>
      </c>
    </row>
    <row r="35" spans="1:84">
      <c r="A35" s="166">
        <v>33</v>
      </c>
      <c r="B35" s="400" t="e">
        <f>SUMIF(#REF!,D35,#REF!)</f>
        <v>#REF!</v>
      </c>
      <c r="C35" s="137">
        <f>SUMIF(Draw!$B$3:$B$42,D35,Draw!$C$3:$C$42)</f>
        <v>0</v>
      </c>
      <c r="D35" s="138" t="str">
        <f t="shared" si="12"/>
        <v>Wild Card / TR 13</v>
      </c>
      <c r="E35" s="967" t="str">
        <f t="shared" si="13"/>
        <v/>
      </c>
      <c r="F35" s="411" t="str">
        <f t="shared" si="14"/>
        <v/>
      </c>
      <c r="G35" s="837" t="str">
        <f t="shared" si="15"/>
        <v/>
      </c>
      <c r="H35" s="411" t="str">
        <f t="shared" si="16"/>
        <v/>
      </c>
      <c r="I35" s="410" t="str">
        <f t="shared" si="17"/>
        <v/>
      </c>
      <c r="J35" s="411" t="str">
        <f t="shared" si="18"/>
        <v/>
      </c>
      <c r="K35" s="410" t="str">
        <f t="shared" si="19"/>
        <v/>
      </c>
      <c r="L35" s="411" t="str">
        <f t="shared" si="20"/>
        <v/>
      </c>
      <c r="M35" s="410" t="str">
        <f t="shared" si="21"/>
        <v/>
      </c>
      <c r="N35" s="411" t="str">
        <f t="shared" si="22"/>
        <v/>
      </c>
      <c r="O35" s="410" t="str">
        <f t="shared" ref="O35:O42" si="51">VLOOKUP($A35,$AC$3:$AS$59,14,FALSE)</f>
        <v/>
      </c>
      <c r="P35" s="411" t="str">
        <f t="shared" ref="P35:P42" si="52">VLOOKUP($A35,$AC$3:$AS$59,15,FALSE)</f>
        <v/>
      </c>
      <c r="Q35" s="410" t="str">
        <f t="shared" si="23"/>
        <v/>
      </c>
      <c r="S35" s="987">
        <f t="shared" si="24"/>
        <v>0</v>
      </c>
      <c r="T35" s="987">
        <f t="shared" si="25"/>
        <v>0</v>
      </c>
      <c r="U35" s="987">
        <f t="shared" si="26"/>
        <v>0</v>
      </c>
      <c r="V35" s="987">
        <f t="shared" si="27"/>
        <v>0</v>
      </c>
      <c r="W35" s="987">
        <f t="shared" si="28"/>
        <v>0</v>
      </c>
      <c r="X35" s="987">
        <f t="shared" si="29"/>
        <v>0</v>
      </c>
      <c r="Y35" s="987">
        <f t="shared" si="30"/>
        <v>0</v>
      </c>
      <c r="Z35" s="987">
        <f t="shared" si="31"/>
        <v>0</v>
      </c>
      <c r="AA35" s="989">
        <f t="shared" si="32"/>
        <v>0</v>
      </c>
      <c r="AB35" s="160">
        <v>-83</v>
      </c>
      <c r="AC35" s="980">
        <f>RANK(AE35,$AE$3:$AE$42)+COUNTIF(AE$3:AE35,AE35)-1</f>
        <v>33</v>
      </c>
      <c r="AD35" s="990">
        <f>SUM((100-Draw!C35)/1000)+(AA35/100000)</f>
        <v>0.1</v>
      </c>
      <c r="AE35" s="175">
        <f t="shared" si="33"/>
        <v>-83</v>
      </c>
      <c r="AF35" s="171" t="str">
        <f>Draw!B35</f>
        <v>Wild Card / TR 13</v>
      </c>
      <c r="AG35" s="173" t="str">
        <f t="shared" si="34"/>
        <v/>
      </c>
      <c r="AH35" s="173" t="str">
        <f t="shared" si="35"/>
        <v/>
      </c>
      <c r="AI35" s="169" t="str">
        <f t="shared" si="36"/>
        <v/>
      </c>
      <c r="AJ35" s="169" t="str">
        <f t="shared" si="37"/>
        <v/>
      </c>
      <c r="AK35" s="169" t="str">
        <f t="shared" si="38"/>
        <v/>
      </c>
      <c r="AL35" s="169" t="str">
        <f t="shared" si="39"/>
        <v/>
      </c>
      <c r="AM35" s="169" t="str">
        <f t="shared" si="40"/>
        <v/>
      </c>
      <c r="AN35" s="169" t="str">
        <f t="shared" si="41"/>
        <v/>
      </c>
      <c r="AO35" s="169" t="str">
        <f t="shared" si="42"/>
        <v/>
      </c>
      <c r="AP35" s="169" t="str">
        <f t="shared" si="43"/>
        <v/>
      </c>
      <c r="AQ35" s="169" t="str">
        <f t="shared" si="44"/>
        <v/>
      </c>
      <c r="AR35" s="480" t="str">
        <f t="shared" si="45"/>
        <v/>
      </c>
      <c r="AS35" s="139" t="str">
        <f t="shared" ref="AS35:AS42" si="53">IF(AT35=12,"",SUM(AG35:AR35))</f>
        <v/>
      </c>
      <c r="AT35" s="397">
        <f t="shared" si="46"/>
        <v>12</v>
      </c>
      <c r="AU35" s="397"/>
      <c r="BU35" s="836">
        <f t="shared" si="47"/>
        <v>0</v>
      </c>
      <c r="BV35" s="836">
        <f t="shared" si="4"/>
        <v>0</v>
      </c>
      <c r="BW35" s="836">
        <f t="shared" si="5"/>
        <v>0</v>
      </c>
      <c r="BX35" s="836">
        <f t="shared" si="6"/>
        <v>0</v>
      </c>
      <c r="BY35" s="836">
        <f t="shared" ref="BY35:BY42" si="54">COUNTIF(BD$3:BD$20,$AF35)</f>
        <v>0</v>
      </c>
      <c r="BZ35" s="836">
        <f t="shared" si="48"/>
        <v>0</v>
      </c>
      <c r="CA35" s="836">
        <f t="shared" si="49"/>
        <v>0</v>
      </c>
      <c r="CB35" s="836">
        <f t="shared" si="50"/>
        <v>0</v>
      </c>
      <c r="CC35" s="836">
        <f t="shared" si="8"/>
        <v>0</v>
      </c>
      <c r="CD35" s="836">
        <f t="shared" si="9"/>
        <v>0</v>
      </c>
      <c r="CE35" s="836">
        <f t="shared" si="10"/>
        <v>0</v>
      </c>
      <c r="CF35" s="836">
        <f t="shared" ref="CF35:CF42" si="55">COUNTIF(BR$3:BR$20,$AF35)</f>
        <v>0</v>
      </c>
    </row>
    <row r="36" spans="1:84">
      <c r="A36" s="166">
        <v>34</v>
      </c>
      <c r="B36" s="400" t="e">
        <f>SUMIF(#REF!,D36,#REF!)</f>
        <v>#REF!</v>
      </c>
      <c r="C36" s="137">
        <f>SUMIF(Draw!$B$3:$B$42,D36,Draw!$C$3:$C$42)</f>
        <v>0</v>
      </c>
      <c r="D36" s="138" t="str">
        <f t="shared" si="12"/>
        <v>Wild Card / TR 14</v>
      </c>
      <c r="E36" s="967" t="str">
        <f t="shared" si="13"/>
        <v/>
      </c>
      <c r="F36" s="411" t="str">
        <f t="shared" si="14"/>
        <v/>
      </c>
      <c r="G36" s="837" t="str">
        <f t="shared" si="15"/>
        <v/>
      </c>
      <c r="H36" s="411" t="str">
        <f t="shared" si="16"/>
        <v/>
      </c>
      <c r="I36" s="410" t="str">
        <f t="shared" si="17"/>
        <v/>
      </c>
      <c r="J36" s="411" t="str">
        <f t="shared" si="18"/>
        <v/>
      </c>
      <c r="K36" s="410" t="str">
        <f t="shared" si="19"/>
        <v/>
      </c>
      <c r="L36" s="411" t="str">
        <f t="shared" si="20"/>
        <v/>
      </c>
      <c r="M36" s="410" t="str">
        <f t="shared" si="21"/>
        <v/>
      </c>
      <c r="N36" s="411" t="str">
        <f t="shared" si="22"/>
        <v/>
      </c>
      <c r="O36" s="410" t="str">
        <f t="shared" si="51"/>
        <v/>
      </c>
      <c r="P36" s="411" t="str">
        <f t="shared" si="52"/>
        <v/>
      </c>
      <c r="Q36" s="410" t="str">
        <f t="shared" si="23"/>
        <v/>
      </c>
      <c r="S36" s="987">
        <f t="shared" si="24"/>
        <v>0</v>
      </c>
      <c r="T36" s="987">
        <f t="shared" si="25"/>
        <v>0</v>
      </c>
      <c r="U36" s="987">
        <f t="shared" si="26"/>
        <v>0</v>
      </c>
      <c r="V36" s="987">
        <f t="shared" si="27"/>
        <v>0</v>
      </c>
      <c r="W36" s="987">
        <f t="shared" si="28"/>
        <v>0</v>
      </c>
      <c r="X36" s="987">
        <f t="shared" si="29"/>
        <v>0</v>
      </c>
      <c r="Y36" s="987">
        <f t="shared" si="30"/>
        <v>0</v>
      </c>
      <c r="Z36" s="987">
        <f t="shared" si="31"/>
        <v>0</v>
      </c>
      <c r="AA36" s="989">
        <f t="shared" si="32"/>
        <v>0</v>
      </c>
      <c r="AB36" s="160">
        <v>-84</v>
      </c>
      <c r="AC36" s="980">
        <f>RANK(AE36,$AE$3:$AE$42)+COUNTIF(AE$3:AE36,AE36)-1</f>
        <v>34</v>
      </c>
      <c r="AD36" s="990">
        <f>SUM((100-Draw!C36)/1000)+(AA36/100000)</f>
        <v>0.1</v>
      </c>
      <c r="AE36" s="175">
        <f t="shared" si="33"/>
        <v>-84</v>
      </c>
      <c r="AF36" s="171" t="str">
        <f>Draw!B36</f>
        <v>Wild Card / TR 14</v>
      </c>
      <c r="AG36" s="173" t="str">
        <f t="shared" si="34"/>
        <v/>
      </c>
      <c r="AH36" s="173" t="str">
        <f t="shared" si="35"/>
        <v/>
      </c>
      <c r="AI36" s="169" t="str">
        <f t="shared" si="36"/>
        <v/>
      </c>
      <c r="AJ36" s="169" t="str">
        <f t="shared" si="37"/>
        <v/>
      </c>
      <c r="AK36" s="169" t="str">
        <f t="shared" si="38"/>
        <v/>
      </c>
      <c r="AL36" s="169" t="str">
        <f t="shared" si="39"/>
        <v/>
      </c>
      <c r="AM36" s="169" t="str">
        <f t="shared" si="40"/>
        <v/>
      </c>
      <c r="AN36" s="169" t="str">
        <f t="shared" si="41"/>
        <v/>
      </c>
      <c r="AO36" s="169" t="str">
        <f t="shared" si="42"/>
        <v/>
      </c>
      <c r="AP36" s="169" t="str">
        <f t="shared" si="43"/>
        <v/>
      </c>
      <c r="AQ36" s="169" t="str">
        <f t="shared" si="44"/>
        <v/>
      </c>
      <c r="AR36" s="480" t="str">
        <f t="shared" si="45"/>
        <v/>
      </c>
      <c r="AS36" s="139" t="str">
        <f t="shared" si="53"/>
        <v/>
      </c>
      <c r="AT36" s="397">
        <f t="shared" si="46"/>
        <v>12</v>
      </c>
      <c r="AU36" s="397"/>
      <c r="BU36" s="836">
        <f t="shared" si="47"/>
        <v>0</v>
      </c>
      <c r="BV36" s="836">
        <f t="shared" si="4"/>
        <v>0</v>
      </c>
      <c r="BW36" s="836">
        <f t="shared" si="5"/>
        <v>0</v>
      </c>
      <c r="BX36" s="836">
        <f t="shared" si="6"/>
        <v>0</v>
      </c>
      <c r="BY36" s="836">
        <f t="shared" si="54"/>
        <v>0</v>
      </c>
      <c r="BZ36" s="836">
        <f t="shared" si="48"/>
        <v>0</v>
      </c>
      <c r="CA36" s="836">
        <f t="shared" si="49"/>
        <v>0</v>
      </c>
      <c r="CB36" s="836">
        <f t="shared" si="50"/>
        <v>0</v>
      </c>
      <c r="CC36" s="836">
        <f t="shared" si="8"/>
        <v>0</v>
      </c>
      <c r="CD36" s="836">
        <f t="shared" si="9"/>
        <v>0</v>
      </c>
      <c r="CE36" s="836">
        <f t="shared" si="10"/>
        <v>0</v>
      </c>
      <c r="CF36" s="836">
        <f t="shared" si="55"/>
        <v>0</v>
      </c>
    </row>
    <row r="37" spans="1:84">
      <c r="A37" s="166">
        <v>35</v>
      </c>
      <c r="B37" s="400" t="e">
        <f>SUMIF(#REF!,D37,#REF!)</f>
        <v>#REF!</v>
      </c>
      <c r="C37" s="137">
        <f>SUMIF(Draw!$B$3:$B$42,D37,Draw!$C$3:$C$42)</f>
        <v>0</v>
      </c>
      <c r="D37" s="138" t="str">
        <f t="shared" si="12"/>
        <v>Wild Card / TR 15</v>
      </c>
      <c r="E37" s="967" t="str">
        <f t="shared" si="13"/>
        <v/>
      </c>
      <c r="F37" s="411" t="str">
        <f t="shared" si="14"/>
        <v/>
      </c>
      <c r="G37" s="837" t="str">
        <f t="shared" si="15"/>
        <v/>
      </c>
      <c r="H37" s="411" t="str">
        <f t="shared" si="16"/>
        <v/>
      </c>
      <c r="I37" s="410" t="str">
        <f t="shared" si="17"/>
        <v/>
      </c>
      <c r="J37" s="411" t="str">
        <f t="shared" si="18"/>
        <v/>
      </c>
      <c r="K37" s="410" t="str">
        <f t="shared" si="19"/>
        <v/>
      </c>
      <c r="L37" s="411" t="str">
        <f t="shared" si="20"/>
        <v/>
      </c>
      <c r="M37" s="410" t="str">
        <f t="shared" si="21"/>
        <v/>
      </c>
      <c r="N37" s="411" t="str">
        <f t="shared" si="22"/>
        <v/>
      </c>
      <c r="O37" s="410" t="str">
        <f t="shared" si="51"/>
        <v/>
      </c>
      <c r="P37" s="411" t="str">
        <f t="shared" si="52"/>
        <v/>
      </c>
      <c r="Q37" s="410" t="str">
        <f t="shared" si="23"/>
        <v/>
      </c>
      <c r="S37" s="987">
        <f t="shared" si="24"/>
        <v>0</v>
      </c>
      <c r="T37" s="987">
        <f t="shared" si="25"/>
        <v>0</v>
      </c>
      <c r="U37" s="987">
        <f t="shared" si="26"/>
        <v>0</v>
      </c>
      <c r="V37" s="987">
        <f t="shared" si="27"/>
        <v>0</v>
      </c>
      <c r="W37" s="987">
        <f t="shared" si="28"/>
        <v>0</v>
      </c>
      <c r="X37" s="987">
        <f t="shared" si="29"/>
        <v>0</v>
      </c>
      <c r="Y37" s="987">
        <f t="shared" si="30"/>
        <v>0</v>
      </c>
      <c r="Z37" s="987">
        <f t="shared" si="31"/>
        <v>0</v>
      </c>
      <c r="AA37" s="989">
        <f t="shared" si="32"/>
        <v>0</v>
      </c>
      <c r="AB37" s="160">
        <v>-85</v>
      </c>
      <c r="AC37" s="980">
        <f>RANK(AE37,$AE$3:$AE$42)+COUNTIF(AE$3:AE37,AE37)-1</f>
        <v>35</v>
      </c>
      <c r="AD37" s="990">
        <f>SUM((100-Draw!C37)/1000)+(AA37/100000)</f>
        <v>0.1</v>
      </c>
      <c r="AE37" s="175">
        <f t="shared" si="33"/>
        <v>-85</v>
      </c>
      <c r="AF37" s="171" t="str">
        <f>Draw!B37</f>
        <v>Wild Card / TR 15</v>
      </c>
      <c r="AG37" s="173" t="str">
        <f t="shared" si="34"/>
        <v/>
      </c>
      <c r="AH37" s="173" t="str">
        <f t="shared" si="35"/>
        <v/>
      </c>
      <c r="AI37" s="169" t="str">
        <f t="shared" si="36"/>
        <v/>
      </c>
      <c r="AJ37" s="169" t="str">
        <f t="shared" si="37"/>
        <v/>
      </c>
      <c r="AK37" s="169" t="str">
        <f t="shared" si="38"/>
        <v/>
      </c>
      <c r="AL37" s="169" t="str">
        <f t="shared" si="39"/>
        <v/>
      </c>
      <c r="AM37" s="169" t="str">
        <f t="shared" si="40"/>
        <v/>
      </c>
      <c r="AN37" s="169" t="str">
        <f t="shared" si="41"/>
        <v/>
      </c>
      <c r="AO37" s="169" t="str">
        <f t="shared" si="42"/>
        <v/>
      </c>
      <c r="AP37" s="169" t="str">
        <f t="shared" si="43"/>
        <v/>
      </c>
      <c r="AQ37" s="169" t="str">
        <f t="shared" si="44"/>
        <v/>
      </c>
      <c r="AR37" s="480" t="str">
        <f t="shared" si="45"/>
        <v/>
      </c>
      <c r="AS37" s="139" t="str">
        <f t="shared" si="53"/>
        <v/>
      </c>
      <c r="AT37" s="397">
        <f t="shared" si="46"/>
        <v>12</v>
      </c>
      <c r="AU37" s="397"/>
      <c r="BU37" s="836">
        <f t="shared" si="47"/>
        <v>0</v>
      </c>
      <c r="BV37" s="836">
        <f t="shared" si="4"/>
        <v>0</v>
      </c>
      <c r="BW37" s="836">
        <f t="shared" si="5"/>
        <v>0</v>
      </c>
      <c r="BX37" s="836">
        <f t="shared" si="6"/>
        <v>0</v>
      </c>
      <c r="BY37" s="836">
        <f t="shared" si="54"/>
        <v>0</v>
      </c>
      <c r="BZ37" s="836">
        <f t="shared" si="48"/>
        <v>0</v>
      </c>
      <c r="CA37" s="836">
        <f t="shared" si="49"/>
        <v>0</v>
      </c>
      <c r="CB37" s="836">
        <f t="shared" si="50"/>
        <v>0</v>
      </c>
      <c r="CC37" s="836">
        <f t="shared" si="8"/>
        <v>0</v>
      </c>
      <c r="CD37" s="836">
        <f t="shared" si="9"/>
        <v>0</v>
      </c>
      <c r="CE37" s="836">
        <f t="shared" si="10"/>
        <v>0</v>
      </c>
      <c r="CF37" s="836">
        <f t="shared" si="55"/>
        <v>0</v>
      </c>
    </row>
    <row r="38" spans="1:84">
      <c r="A38" s="166">
        <v>36</v>
      </c>
      <c r="B38" s="400" t="e">
        <f>SUMIF(#REF!,D38,#REF!)</f>
        <v>#REF!</v>
      </c>
      <c r="C38" s="137">
        <f>SUMIF(Draw!$B$3:$B$42,D38,Draw!$C$3:$C$42)</f>
        <v>0</v>
      </c>
      <c r="D38" s="138" t="str">
        <f t="shared" si="12"/>
        <v>Wild Card / TR 16</v>
      </c>
      <c r="E38" s="967" t="str">
        <f t="shared" si="13"/>
        <v/>
      </c>
      <c r="F38" s="411" t="str">
        <f t="shared" si="14"/>
        <v/>
      </c>
      <c r="G38" s="837" t="str">
        <f t="shared" si="15"/>
        <v/>
      </c>
      <c r="H38" s="411" t="str">
        <f t="shared" si="16"/>
        <v/>
      </c>
      <c r="I38" s="410" t="str">
        <f t="shared" si="17"/>
        <v/>
      </c>
      <c r="J38" s="411" t="str">
        <f t="shared" si="18"/>
        <v/>
      </c>
      <c r="K38" s="410" t="str">
        <f t="shared" si="19"/>
        <v/>
      </c>
      <c r="L38" s="411" t="str">
        <f t="shared" si="20"/>
        <v/>
      </c>
      <c r="M38" s="410" t="str">
        <f t="shared" si="21"/>
        <v/>
      </c>
      <c r="N38" s="411" t="str">
        <f t="shared" si="22"/>
        <v/>
      </c>
      <c r="O38" s="410" t="str">
        <f t="shared" si="51"/>
        <v/>
      </c>
      <c r="P38" s="411" t="str">
        <f t="shared" si="52"/>
        <v/>
      </c>
      <c r="Q38" s="410" t="str">
        <f t="shared" si="23"/>
        <v/>
      </c>
      <c r="S38" s="987">
        <f t="shared" si="24"/>
        <v>0</v>
      </c>
      <c r="T38" s="987">
        <f t="shared" si="25"/>
        <v>0</v>
      </c>
      <c r="U38" s="987">
        <f t="shared" si="26"/>
        <v>0</v>
      </c>
      <c r="V38" s="987">
        <f t="shared" si="27"/>
        <v>0</v>
      </c>
      <c r="W38" s="987">
        <f t="shared" si="28"/>
        <v>0</v>
      </c>
      <c r="X38" s="987">
        <f t="shared" si="29"/>
        <v>0</v>
      </c>
      <c r="Y38" s="987">
        <f t="shared" si="30"/>
        <v>0</v>
      </c>
      <c r="Z38" s="987">
        <f t="shared" si="31"/>
        <v>0</v>
      </c>
      <c r="AA38" s="989">
        <f t="shared" si="32"/>
        <v>0</v>
      </c>
      <c r="AB38" s="160">
        <v>-86</v>
      </c>
      <c r="AC38" s="980">
        <f>RANK(AE38,$AE$3:$AE$42)+COUNTIF(AE$3:AE38,AE38)-1</f>
        <v>36</v>
      </c>
      <c r="AD38" s="990">
        <f>SUM((100-Draw!C38)/1000)+(AA38/100000)</f>
        <v>0.1</v>
      </c>
      <c r="AE38" s="175">
        <f t="shared" si="33"/>
        <v>-86</v>
      </c>
      <c r="AF38" s="171" t="str">
        <f>Draw!B38</f>
        <v>Wild Card / TR 16</v>
      </c>
      <c r="AG38" s="173" t="str">
        <f t="shared" si="34"/>
        <v/>
      </c>
      <c r="AH38" s="173" t="str">
        <f t="shared" si="35"/>
        <v/>
      </c>
      <c r="AI38" s="169" t="str">
        <f t="shared" si="36"/>
        <v/>
      </c>
      <c r="AJ38" s="169" t="str">
        <f t="shared" si="37"/>
        <v/>
      </c>
      <c r="AK38" s="169" t="str">
        <f t="shared" si="38"/>
        <v/>
      </c>
      <c r="AL38" s="169" t="str">
        <f t="shared" si="39"/>
        <v/>
      </c>
      <c r="AM38" s="169" t="str">
        <f t="shared" si="40"/>
        <v/>
      </c>
      <c r="AN38" s="169" t="str">
        <f t="shared" si="41"/>
        <v/>
      </c>
      <c r="AO38" s="169" t="str">
        <f t="shared" si="42"/>
        <v/>
      </c>
      <c r="AP38" s="169" t="str">
        <f t="shared" si="43"/>
        <v/>
      </c>
      <c r="AQ38" s="169" t="str">
        <f t="shared" si="44"/>
        <v/>
      </c>
      <c r="AR38" s="480" t="str">
        <f t="shared" si="45"/>
        <v/>
      </c>
      <c r="AS38" s="139" t="str">
        <f t="shared" si="53"/>
        <v/>
      </c>
      <c r="AT38" s="397">
        <f t="shared" si="46"/>
        <v>12</v>
      </c>
      <c r="AU38" s="397"/>
      <c r="BU38" s="836">
        <f t="shared" si="47"/>
        <v>0</v>
      </c>
      <c r="BV38" s="836">
        <f t="shared" si="4"/>
        <v>0</v>
      </c>
      <c r="BW38" s="836">
        <f t="shared" si="5"/>
        <v>0</v>
      </c>
      <c r="BX38" s="836">
        <f t="shared" si="6"/>
        <v>0</v>
      </c>
      <c r="BY38" s="836">
        <f t="shared" si="54"/>
        <v>0</v>
      </c>
      <c r="BZ38" s="836">
        <f t="shared" si="48"/>
        <v>0</v>
      </c>
      <c r="CA38" s="836">
        <f t="shared" si="49"/>
        <v>0</v>
      </c>
      <c r="CB38" s="836">
        <f t="shared" si="50"/>
        <v>0</v>
      </c>
      <c r="CC38" s="836">
        <f t="shared" si="8"/>
        <v>0</v>
      </c>
      <c r="CD38" s="836">
        <f t="shared" si="9"/>
        <v>0</v>
      </c>
      <c r="CE38" s="836">
        <f t="shared" si="10"/>
        <v>0</v>
      </c>
      <c r="CF38" s="836">
        <f t="shared" si="55"/>
        <v>0</v>
      </c>
    </row>
    <row r="39" spans="1:84">
      <c r="A39" s="166">
        <v>37</v>
      </c>
      <c r="B39" s="400" t="e">
        <f>SUMIF(#REF!,D39,#REF!)</f>
        <v>#REF!</v>
      </c>
      <c r="C39" s="137">
        <f>SUMIF(Draw!$B$3:$B$42,D39,Draw!$C$3:$C$42)</f>
        <v>0</v>
      </c>
      <c r="D39" s="138" t="str">
        <f t="shared" si="12"/>
        <v>Wild Card / TR 17</v>
      </c>
      <c r="E39" s="967" t="str">
        <f t="shared" si="13"/>
        <v/>
      </c>
      <c r="F39" s="411" t="str">
        <f t="shared" si="14"/>
        <v/>
      </c>
      <c r="G39" s="837" t="str">
        <f t="shared" si="15"/>
        <v/>
      </c>
      <c r="H39" s="411" t="str">
        <f t="shared" si="16"/>
        <v/>
      </c>
      <c r="I39" s="410" t="str">
        <f t="shared" si="17"/>
        <v/>
      </c>
      <c r="J39" s="411" t="str">
        <f t="shared" si="18"/>
        <v/>
      </c>
      <c r="K39" s="410" t="str">
        <f t="shared" si="19"/>
        <v/>
      </c>
      <c r="L39" s="411" t="str">
        <f t="shared" si="20"/>
        <v/>
      </c>
      <c r="M39" s="410" t="str">
        <f t="shared" si="21"/>
        <v/>
      </c>
      <c r="N39" s="411" t="str">
        <f t="shared" si="22"/>
        <v/>
      </c>
      <c r="O39" s="410" t="str">
        <f t="shared" si="51"/>
        <v/>
      </c>
      <c r="P39" s="411" t="str">
        <f t="shared" si="52"/>
        <v/>
      </c>
      <c r="Q39" s="410" t="str">
        <f t="shared" si="23"/>
        <v/>
      </c>
      <c r="S39" s="987">
        <f t="shared" si="24"/>
        <v>0</v>
      </c>
      <c r="T39" s="987">
        <f t="shared" si="25"/>
        <v>0</v>
      </c>
      <c r="U39" s="987">
        <f t="shared" si="26"/>
        <v>0</v>
      </c>
      <c r="V39" s="987">
        <f t="shared" si="27"/>
        <v>0</v>
      </c>
      <c r="W39" s="987">
        <f t="shared" si="28"/>
        <v>0</v>
      </c>
      <c r="X39" s="987">
        <f t="shared" si="29"/>
        <v>0</v>
      </c>
      <c r="Y39" s="987">
        <f t="shared" si="30"/>
        <v>0</v>
      </c>
      <c r="Z39" s="987">
        <f t="shared" si="31"/>
        <v>0</v>
      </c>
      <c r="AA39" s="989">
        <f t="shared" si="32"/>
        <v>0</v>
      </c>
      <c r="AB39" s="160">
        <v>-87</v>
      </c>
      <c r="AC39" s="980">
        <f>RANK(AE39,$AE$3:$AE$42)+COUNTIF(AE$3:AE39,AE39)-1</f>
        <v>37</v>
      </c>
      <c r="AD39" s="990">
        <f>SUM((100-Draw!C39)/1000)+(AA39/100000)</f>
        <v>0.1</v>
      </c>
      <c r="AE39" s="175">
        <f t="shared" si="33"/>
        <v>-87</v>
      </c>
      <c r="AF39" s="171" t="str">
        <f>Draw!B39</f>
        <v>Wild Card / TR 17</v>
      </c>
      <c r="AG39" s="173" t="str">
        <f t="shared" si="34"/>
        <v/>
      </c>
      <c r="AH39" s="173" t="str">
        <f t="shared" si="35"/>
        <v/>
      </c>
      <c r="AI39" s="169" t="str">
        <f t="shared" si="36"/>
        <v/>
      </c>
      <c r="AJ39" s="169" t="str">
        <f t="shared" si="37"/>
        <v/>
      </c>
      <c r="AK39" s="169" t="str">
        <f t="shared" si="38"/>
        <v/>
      </c>
      <c r="AL39" s="169" t="str">
        <f t="shared" si="39"/>
        <v/>
      </c>
      <c r="AM39" s="169" t="str">
        <f t="shared" si="40"/>
        <v/>
      </c>
      <c r="AN39" s="169" t="str">
        <f t="shared" si="41"/>
        <v/>
      </c>
      <c r="AO39" s="169" t="str">
        <f t="shared" si="42"/>
        <v/>
      </c>
      <c r="AP39" s="169" t="str">
        <f t="shared" si="43"/>
        <v/>
      </c>
      <c r="AQ39" s="169" t="str">
        <f t="shared" si="44"/>
        <v/>
      </c>
      <c r="AR39" s="480" t="str">
        <f t="shared" si="45"/>
        <v/>
      </c>
      <c r="AS39" s="139" t="str">
        <f t="shared" si="53"/>
        <v/>
      </c>
      <c r="AT39" s="397">
        <f t="shared" si="46"/>
        <v>12</v>
      </c>
      <c r="AU39" s="397"/>
      <c r="BU39" s="836">
        <f t="shared" si="47"/>
        <v>0</v>
      </c>
      <c r="BV39" s="836">
        <f t="shared" si="4"/>
        <v>0</v>
      </c>
      <c r="BW39" s="836">
        <f t="shared" si="5"/>
        <v>0</v>
      </c>
      <c r="BX39" s="836">
        <f t="shared" si="6"/>
        <v>0</v>
      </c>
      <c r="BY39" s="836">
        <f t="shared" si="54"/>
        <v>0</v>
      </c>
      <c r="BZ39" s="836">
        <f t="shared" si="48"/>
        <v>0</v>
      </c>
      <c r="CA39" s="836">
        <f t="shared" si="49"/>
        <v>0</v>
      </c>
      <c r="CB39" s="836">
        <f t="shared" si="50"/>
        <v>0</v>
      </c>
      <c r="CC39" s="836">
        <f t="shared" si="8"/>
        <v>0</v>
      </c>
      <c r="CD39" s="836">
        <f t="shared" si="9"/>
        <v>0</v>
      </c>
      <c r="CE39" s="836">
        <f t="shared" si="10"/>
        <v>0</v>
      </c>
      <c r="CF39" s="836">
        <f t="shared" si="55"/>
        <v>0</v>
      </c>
    </row>
    <row r="40" spans="1:84">
      <c r="A40" s="166">
        <v>38</v>
      </c>
      <c r="B40" s="400" t="e">
        <f>SUMIF(#REF!,D40,#REF!)</f>
        <v>#REF!</v>
      </c>
      <c r="C40" s="137">
        <f>SUMIF(Draw!$B$3:$B$42,D40,Draw!$C$3:$C$42)</f>
        <v>0</v>
      </c>
      <c r="D40" s="138" t="str">
        <f t="shared" si="12"/>
        <v>Wild Card / TR 18</v>
      </c>
      <c r="E40" s="967" t="str">
        <f t="shared" si="13"/>
        <v/>
      </c>
      <c r="F40" s="411" t="str">
        <f t="shared" si="14"/>
        <v/>
      </c>
      <c r="G40" s="837" t="str">
        <f t="shared" si="15"/>
        <v/>
      </c>
      <c r="H40" s="411" t="str">
        <f t="shared" si="16"/>
        <v/>
      </c>
      <c r="I40" s="410" t="str">
        <f t="shared" si="17"/>
        <v/>
      </c>
      <c r="J40" s="411" t="str">
        <f t="shared" si="18"/>
        <v/>
      </c>
      <c r="K40" s="410" t="str">
        <f t="shared" si="19"/>
        <v/>
      </c>
      <c r="L40" s="411" t="str">
        <f t="shared" si="20"/>
        <v/>
      </c>
      <c r="M40" s="410" t="str">
        <f t="shared" si="21"/>
        <v/>
      </c>
      <c r="N40" s="411" t="str">
        <f t="shared" si="22"/>
        <v/>
      </c>
      <c r="O40" s="410" t="str">
        <f t="shared" si="51"/>
        <v/>
      </c>
      <c r="P40" s="411" t="str">
        <f t="shared" si="52"/>
        <v/>
      </c>
      <c r="Q40" s="410" t="str">
        <f t="shared" si="23"/>
        <v/>
      </c>
      <c r="S40" s="987">
        <f t="shared" si="24"/>
        <v>0</v>
      </c>
      <c r="T40" s="987">
        <f t="shared" si="25"/>
        <v>0</v>
      </c>
      <c r="U40" s="987">
        <f t="shared" si="26"/>
        <v>0</v>
      </c>
      <c r="V40" s="987">
        <f t="shared" si="27"/>
        <v>0</v>
      </c>
      <c r="W40" s="987">
        <f t="shared" si="28"/>
        <v>0</v>
      </c>
      <c r="X40" s="987">
        <f t="shared" si="29"/>
        <v>0</v>
      </c>
      <c r="Y40" s="987">
        <f t="shared" si="30"/>
        <v>0</v>
      </c>
      <c r="Z40" s="987">
        <f t="shared" si="31"/>
        <v>0</v>
      </c>
      <c r="AA40" s="989">
        <f t="shared" si="32"/>
        <v>0</v>
      </c>
      <c r="AB40" s="160">
        <v>-88</v>
      </c>
      <c r="AC40" s="980">
        <f>RANK(AE40,$AE$3:$AE$42)+COUNTIF(AE$3:AE40,AE40)-1</f>
        <v>38</v>
      </c>
      <c r="AD40" s="990">
        <f>SUM((100-Draw!C40)/1000)+(AA40/100000)</f>
        <v>0.1</v>
      </c>
      <c r="AE40" s="175">
        <f t="shared" si="33"/>
        <v>-88</v>
      </c>
      <c r="AF40" s="171" t="str">
        <f>Draw!B40</f>
        <v>Wild Card / TR 18</v>
      </c>
      <c r="AG40" s="173" t="str">
        <f t="shared" si="34"/>
        <v/>
      </c>
      <c r="AH40" s="173" t="str">
        <f t="shared" si="35"/>
        <v/>
      </c>
      <c r="AI40" s="169" t="str">
        <f t="shared" si="36"/>
        <v/>
      </c>
      <c r="AJ40" s="169" t="str">
        <f t="shared" si="37"/>
        <v/>
      </c>
      <c r="AK40" s="169" t="str">
        <f t="shared" si="38"/>
        <v/>
      </c>
      <c r="AL40" s="169" t="str">
        <f t="shared" si="39"/>
        <v/>
      </c>
      <c r="AM40" s="169" t="str">
        <f t="shared" si="40"/>
        <v/>
      </c>
      <c r="AN40" s="169" t="str">
        <f t="shared" si="41"/>
        <v/>
      </c>
      <c r="AO40" s="169" t="str">
        <f t="shared" si="42"/>
        <v/>
      </c>
      <c r="AP40" s="169" t="str">
        <f t="shared" si="43"/>
        <v/>
      </c>
      <c r="AQ40" s="169" t="str">
        <f t="shared" si="44"/>
        <v/>
      </c>
      <c r="AR40" s="480" t="str">
        <f t="shared" si="45"/>
        <v/>
      </c>
      <c r="AS40" s="139" t="str">
        <f t="shared" si="53"/>
        <v/>
      </c>
      <c r="AT40" s="397">
        <f t="shared" si="46"/>
        <v>12</v>
      </c>
      <c r="AU40" s="397"/>
      <c r="BU40" s="836">
        <f t="shared" si="47"/>
        <v>0</v>
      </c>
      <c r="BV40" s="836">
        <f t="shared" si="4"/>
        <v>0</v>
      </c>
      <c r="BW40" s="836">
        <f t="shared" si="5"/>
        <v>0</v>
      </c>
      <c r="BX40" s="836">
        <f t="shared" si="6"/>
        <v>0</v>
      </c>
      <c r="BY40" s="836">
        <f t="shared" si="54"/>
        <v>0</v>
      </c>
      <c r="BZ40" s="836">
        <f t="shared" si="48"/>
        <v>0</v>
      </c>
      <c r="CA40" s="836">
        <f t="shared" si="49"/>
        <v>0</v>
      </c>
      <c r="CB40" s="836">
        <f t="shared" si="50"/>
        <v>0</v>
      </c>
      <c r="CC40" s="836">
        <f t="shared" si="8"/>
        <v>0</v>
      </c>
      <c r="CD40" s="836">
        <f t="shared" si="9"/>
        <v>0</v>
      </c>
      <c r="CE40" s="836">
        <f t="shared" si="10"/>
        <v>0</v>
      </c>
      <c r="CF40" s="836">
        <f t="shared" si="55"/>
        <v>0</v>
      </c>
    </row>
    <row r="41" spans="1:84">
      <c r="A41" s="166">
        <v>39</v>
      </c>
      <c r="B41" s="400" t="e">
        <f>SUMIF(#REF!,D41,#REF!)</f>
        <v>#REF!</v>
      </c>
      <c r="C41" s="137">
        <f>SUMIF(Draw!$B$3:$B$42,D41,Draw!$C$3:$C$42)</f>
        <v>0</v>
      </c>
      <c r="D41" s="138" t="str">
        <f t="shared" si="12"/>
        <v>Wild Card / TR 19</v>
      </c>
      <c r="E41" s="967" t="str">
        <f t="shared" si="13"/>
        <v/>
      </c>
      <c r="F41" s="411" t="str">
        <f t="shared" si="14"/>
        <v/>
      </c>
      <c r="G41" s="837" t="str">
        <f t="shared" si="15"/>
        <v/>
      </c>
      <c r="H41" s="411" t="str">
        <f t="shared" si="16"/>
        <v/>
      </c>
      <c r="I41" s="410" t="str">
        <f t="shared" si="17"/>
        <v/>
      </c>
      <c r="J41" s="411" t="str">
        <f t="shared" si="18"/>
        <v/>
      </c>
      <c r="K41" s="410" t="str">
        <f t="shared" si="19"/>
        <v/>
      </c>
      <c r="L41" s="411" t="str">
        <f t="shared" si="20"/>
        <v/>
      </c>
      <c r="M41" s="410" t="str">
        <f t="shared" si="21"/>
        <v/>
      </c>
      <c r="N41" s="411" t="str">
        <f t="shared" si="22"/>
        <v/>
      </c>
      <c r="O41" s="410" t="str">
        <f t="shared" si="51"/>
        <v/>
      </c>
      <c r="P41" s="411" t="str">
        <f t="shared" si="52"/>
        <v/>
      </c>
      <c r="Q41" s="410" t="str">
        <f t="shared" si="23"/>
        <v/>
      </c>
      <c r="S41" s="987">
        <f t="shared" si="24"/>
        <v>0</v>
      </c>
      <c r="T41" s="987">
        <f t="shared" si="25"/>
        <v>0</v>
      </c>
      <c r="U41" s="987">
        <f t="shared" si="26"/>
        <v>0</v>
      </c>
      <c r="V41" s="987">
        <f t="shared" si="27"/>
        <v>0</v>
      </c>
      <c r="W41" s="987">
        <f t="shared" si="28"/>
        <v>0</v>
      </c>
      <c r="X41" s="987">
        <f t="shared" si="29"/>
        <v>0</v>
      </c>
      <c r="Y41" s="987">
        <f t="shared" si="30"/>
        <v>0</v>
      </c>
      <c r="Z41" s="987">
        <f t="shared" si="31"/>
        <v>0</v>
      </c>
      <c r="AA41" s="989">
        <f t="shared" si="32"/>
        <v>0</v>
      </c>
      <c r="AB41" s="160">
        <v>-89</v>
      </c>
      <c r="AC41" s="979">
        <f>RANK(AE41,$AE$3:$AE$42)+COUNTIF(AE$3:AE41,AE41)-1</f>
        <v>39</v>
      </c>
      <c r="AD41" s="990">
        <f>SUM((100-Draw!C41)/1000)+(AA41/100000)</f>
        <v>0.1</v>
      </c>
      <c r="AE41" s="167">
        <f t="shared" si="33"/>
        <v>-89</v>
      </c>
      <c r="AF41" s="168" t="str">
        <f>Draw!B41</f>
        <v>Wild Card / TR 19</v>
      </c>
      <c r="AG41" s="169" t="str">
        <f t="shared" si="34"/>
        <v/>
      </c>
      <c r="AH41" s="173" t="str">
        <f t="shared" si="35"/>
        <v/>
      </c>
      <c r="AI41" s="169" t="str">
        <f t="shared" si="36"/>
        <v/>
      </c>
      <c r="AJ41" s="169" t="str">
        <f t="shared" si="37"/>
        <v/>
      </c>
      <c r="AK41" s="169" t="str">
        <f t="shared" si="38"/>
        <v/>
      </c>
      <c r="AL41" s="169" t="str">
        <f t="shared" si="39"/>
        <v/>
      </c>
      <c r="AM41" s="169" t="str">
        <f t="shared" si="40"/>
        <v/>
      </c>
      <c r="AN41" s="169" t="str">
        <f t="shared" si="41"/>
        <v/>
      </c>
      <c r="AO41" s="169" t="str">
        <f t="shared" si="42"/>
        <v/>
      </c>
      <c r="AP41" s="169" t="str">
        <f t="shared" si="43"/>
        <v/>
      </c>
      <c r="AQ41" s="169" t="str">
        <f t="shared" si="44"/>
        <v/>
      </c>
      <c r="AR41" s="480" t="str">
        <f t="shared" si="45"/>
        <v/>
      </c>
      <c r="AS41" s="139" t="str">
        <f t="shared" si="53"/>
        <v/>
      </c>
      <c r="AT41" s="397">
        <f t="shared" si="46"/>
        <v>12</v>
      </c>
      <c r="AU41" s="397"/>
      <c r="BU41" s="836">
        <f t="shared" si="47"/>
        <v>0</v>
      </c>
      <c r="BV41" s="836">
        <f t="shared" si="4"/>
        <v>0</v>
      </c>
      <c r="BW41" s="836">
        <f t="shared" si="5"/>
        <v>0</v>
      </c>
      <c r="BX41" s="836">
        <f t="shared" si="6"/>
        <v>0</v>
      </c>
      <c r="BY41" s="836">
        <f t="shared" si="54"/>
        <v>0</v>
      </c>
      <c r="BZ41" s="836">
        <f t="shared" si="48"/>
        <v>0</v>
      </c>
      <c r="CA41" s="836">
        <f t="shared" si="49"/>
        <v>0</v>
      </c>
      <c r="CB41" s="836">
        <f t="shared" si="50"/>
        <v>0</v>
      </c>
      <c r="CC41" s="836">
        <f t="shared" si="8"/>
        <v>0</v>
      </c>
      <c r="CD41" s="836">
        <f t="shared" si="9"/>
        <v>0</v>
      </c>
      <c r="CE41" s="836">
        <f t="shared" si="10"/>
        <v>0</v>
      </c>
      <c r="CF41" s="836">
        <f t="shared" si="55"/>
        <v>0</v>
      </c>
    </row>
    <row r="42" spans="1:84">
      <c r="A42" s="392">
        <v>40</v>
      </c>
      <c r="B42" s="401" t="e">
        <f>SUMIF(#REF!,D42,#REF!)</f>
        <v>#REF!</v>
      </c>
      <c r="C42" s="393">
        <f>SUMIF(Draw!$B$3:$B$42,D42,Draw!$C$3:$C$42)</f>
        <v>0</v>
      </c>
      <c r="D42" s="394" t="str">
        <f t="shared" si="12"/>
        <v>No Rider</v>
      </c>
      <c r="E42" s="968" t="str">
        <f t="shared" si="13"/>
        <v/>
      </c>
      <c r="F42" s="412" t="str">
        <f t="shared" si="14"/>
        <v/>
      </c>
      <c r="G42" s="838" t="str">
        <f t="shared" si="15"/>
        <v/>
      </c>
      <c r="H42" s="412" t="str">
        <f t="shared" si="16"/>
        <v/>
      </c>
      <c r="I42" s="839" t="str">
        <f t="shared" si="17"/>
        <v/>
      </c>
      <c r="J42" s="412" t="str">
        <f t="shared" si="18"/>
        <v/>
      </c>
      <c r="K42" s="839" t="str">
        <f t="shared" si="19"/>
        <v/>
      </c>
      <c r="L42" s="412" t="str">
        <f t="shared" si="20"/>
        <v/>
      </c>
      <c r="M42" s="839" t="str">
        <f t="shared" si="21"/>
        <v/>
      </c>
      <c r="N42" s="412" t="str">
        <f t="shared" si="22"/>
        <v/>
      </c>
      <c r="O42" s="839" t="str">
        <f t="shared" si="51"/>
        <v/>
      </c>
      <c r="P42" s="412" t="str">
        <f t="shared" si="52"/>
        <v/>
      </c>
      <c r="Q42" s="839" t="str">
        <f t="shared" si="23"/>
        <v/>
      </c>
      <c r="S42" s="988">
        <f t="shared" si="24"/>
        <v>0</v>
      </c>
      <c r="T42" s="988">
        <f t="shared" si="25"/>
        <v>0</v>
      </c>
      <c r="U42" s="988">
        <f t="shared" si="26"/>
        <v>0</v>
      </c>
      <c r="V42" s="988">
        <f t="shared" si="27"/>
        <v>0</v>
      </c>
      <c r="W42" s="988">
        <f t="shared" si="28"/>
        <v>0</v>
      </c>
      <c r="X42" s="988">
        <f t="shared" si="29"/>
        <v>0</v>
      </c>
      <c r="Y42" s="988">
        <f t="shared" si="30"/>
        <v>0</v>
      </c>
      <c r="Z42" s="988">
        <f t="shared" si="31"/>
        <v>0</v>
      </c>
      <c r="AA42" s="989">
        <f t="shared" si="32"/>
        <v>0</v>
      </c>
      <c r="AB42" s="160">
        <v>-90</v>
      </c>
      <c r="AC42" s="979">
        <f>RANK(AE42,$AE$3:$AE$42)+COUNTIF(AE$3:AE42,AE42)-1</f>
        <v>40</v>
      </c>
      <c r="AD42" s="990">
        <f>SUM((100-Draw!C42)/1000)+(AA42/100000)</f>
        <v>0.1</v>
      </c>
      <c r="AE42" s="167">
        <f t="shared" si="33"/>
        <v>-90</v>
      </c>
      <c r="AF42" s="168" t="str">
        <f>Draw!B42</f>
        <v>No Rider</v>
      </c>
      <c r="AG42" s="169" t="str">
        <f t="shared" si="34"/>
        <v/>
      </c>
      <c r="AH42" s="173" t="str">
        <f t="shared" si="35"/>
        <v/>
      </c>
      <c r="AI42" s="169" t="str">
        <f t="shared" si="36"/>
        <v/>
      </c>
      <c r="AJ42" s="169" t="str">
        <f t="shared" si="37"/>
        <v/>
      </c>
      <c r="AK42" s="169" t="str">
        <f t="shared" si="38"/>
        <v/>
      </c>
      <c r="AL42" s="169" t="str">
        <f t="shared" si="39"/>
        <v/>
      </c>
      <c r="AM42" s="169" t="str">
        <f t="shared" si="40"/>
        <v/>
      </c>
      <c r="AN42" s="169" t="str">
        <f t="shared" si="41"/>
        <v/>
      </c>
      <c r="AO42" s="169" t="str">
        <f t="shared" si="42"/>
        <v/>
      </c>
      <c r="AP42" s="169" t="str">
        <f t="shared" si="43"/>
        <v/>
      </c>
      <c r="AQ42" s="169" t="str">
        <f t="shared" si="44"/>
        <v/>
      </c>
      <c r="AR42" s="480" t="str">
        <f t="shared" si="45"/>
        <v/>
      </c>
      <c r="AS42" s="139" t="str">
        <f t="shared" si="53"/>
        <v/>
      </c>
      <c r="AT42" s="397">
        <f t="shared" si="46"/>
        <v>12</v>
      </c>
      <c r="AU42" s="397"/>
      <c r="BU42" s="836">
        <f t="shared" si="47"/>
        <v>0</v>
      </c>
      <c r="BV42" s="836">
        <f t="shared" si="4"/>
        <v>0</v>
      </c>
      <c r="BW42" s="836">
        <f t="shared" si="5"/>
        <v>0</v>
      </c>
      <c r="BX42" s="836">
        <f t="shared" si="6"/>
        <v>0</v>
      </c>
      <c r="BY42" s="836">
        <f t="shared" si="54"/>
        <v>0</v>
      </c>
      <c r="BZ42" s="836">
        <f t="shared" si="48"/>
        <v>0</v>
      </c>
      <c r="CA42" s="836">
        <f t="shared" si="49"/>
        <v>0</v>
      </c>
      <c r="CB42" s="836">
        <f t="shared" si="50"/>
        <v>0</v>
      </c>
      <c r="CC42" s="836">
        <f t="shared" si="8"/>
        <v>0</v>
      </c>
      <c r="CD42" s="836">
        <f t="shared" si="9"/>
        <v>0</v>
      </c>
      <c r="CE42" s="836">
        <f t="shared" si="10"/>
        <v>0</v>
      </c>
      <c r="CF42" s="836">
        <f t="shared" si="55"/>
        <v>0</v>
      </c>
    </row>
    <row r="43" spans="1:84">
      <c r="A43"/>
      <c r="B43"/>
      <c r="C43"/>
      <c r="D43"/>
      <c r="E43"/>
      <c r="F43"/>
      <c r="G43"/>
      <c r="H43"/>
      <c r="I43"/>
      <c r="J43"/>
      <c r="K43"/>
      <c r="L43"/>
      <c r="M43"/>
      <c r="N43"/>
      <c r="O43"/>
      <c r="P43"/>
      <c r="Q43"/>
      <c r="R43"/>
      <c r="S43" s="984"/>
      <c r="T43" s="984"/>
      <c r="U43" s="984"/>
      <c r="V43" s="984"/>
      <c r="W43" s="984"/>
      <c r="X43" s="984"/>
      <c r="Y43" s="984"/>
      <c r="Z43" s="984"/>
      <c r="AA43" s="984"/>
      <c r="AB43"/>
      <c r="AC43" s="981"/>
      <c r="AD43"/>
      <c r="AE43"/>
      <c r="AF43"/>
      <c r="AG43"/>
      <c r="AH43"/>
      <c r="AI43"/>
      <c r="AJ43"/>
      <c r="AK43"/>
      <c r="AL43"/>
      <c r="AM43"/>
      <c r="AN43"/>
      <c r="AO43"/>
      <c r="AP43"/>
      <c r="AQ43"/>
      <c r="AR43"/>
      <c r="AS43"/>
      <c r="AT43"/>
      <c r="AU43"/>
      <c r="BU43"/>
      <c r="BV43"/>
      <c r="BW43"/>
      <c r="BX43"/>
      <c r="BY43"/>
      <c r="BZ43"/>
      <c r="CA43"/>
      <c r="CB43"/>
      <c r="CC43"/>
      <c r="CD43"/>
      <c r="CE43"/>
      <c r="CF43"/>
    </row>
    <row r="44" spans="1:84">
      <c r="A44"/>
      <c r="B44"/>
      <c r="C44"/>
      <c r="D44"/>
      <c r="E44"/>
      <c r="F44"/>
      <c r="G44"/>
      <c r="H44"/>
      <c r="I44"/>
      <c r="J44"/>
      <c r="K44"/>
      <c r="L44"/>
      <c r="M44"/>
      <c r="N44"/>
      <c r="O44"/>
      <c r="P44"/>
      <c r="Q44"/>
      <c r="R44"/>
      <c r="S44" s="984"/>
      <c r="T44" s="984"/>
      <c r="U44" s="984"/>
      <c r="V44" s="984"/>
      <c r="W44" s="984"/>
      <c r="X44" s="984"/>
      <c r="Y44" s="984"/>
      <c r="Z44" s="984"/>
      <c r="AA44" s="984"/>
      <c r="AB44"/>
      <c r="AC44" s="981"/>
      <c r="AD44"/>
      <c r="AE44"/>
      <c r="AF44"/>
      <c r="AG44"/>
      <c r="AH44"/>
      <c r="AI44"/>
      <c r="AJ44"/>
      <c r="AK44"/>
      <c r="AL44"/>
      <c r="AM44"/>
      <c r="AN44"/>
      <c r="AO44"/>
      <c r="AP44"/>
      <c r="AQ44"/>
      <c r="AR44"/>
      <c r="AS44"/>
      <c r="AT44"/>
      <c r="AU44"/>
      <c r="BU44"/>
      <c r="BV44"/>
      <c r="BW44"/>
      <c r="BX44"/>
      <c r="BY44"/>
      <c r="BZ44"/>
      <c r="CA44"/>
      <c r="CB44"/>
      <c r="CC44"/>
      <c r="CD44"/>
      <c r="CE44"/>
      <c r="CF44"/>
    </row>
    <row r="45" spans="1:84">
      <c r="A45"/>
      <c r="B45"/>
      <c r="C45"/>
      <c r="D45"/>
      <c r="E45"/>
      <c r="F45"/>
      <c r="G45"/>
      <c r="H45"/>
      <c r="I45"/>
      <c r="J45"/>
      <c r="K45"/>
      <c r="L45"/>
      <c r="M45"/>
      <c r="N45"/>
      <c r="O45"/>
      <c r="P45"/>
      <c r="Q45"/>
      <c r="R45"/>
      <c r="S45" s="984"/>
      <c r="T45" s="984"/>
      <c r="U45" s="984"/>
      <c r="V45" s="984"/>
      <c r="W45" s="984"/>
      <c r="X45" s="984"/>
      <c r="Y45" s="984"/>
      <c r="Z45" s="984"/>
      <c r="AA45" s="984"/>
      <c r="AB45"/>
      <c r="AC45" s="981"/>
      <c r="AD45"/>
      <c r="AE45"/>
      <c r="AF45"/>
      <c r="AG45"/>
      <c r="AH45"/>
      <c r="AI45"/>
      <c r="AJ45"/>
      <c r="AK45"/>
      <c r="AL45"/>
      <c r="AM45"/>
      <c r="AN45"/>
      <c r="AO45"/>
      <c r="AP45"/>
      <c r="AQ45"/>
      <c r="AR45"/>
      <c r="AS45"/>
      <c r="AT45"/>
      <c r="AU45"/>
      <c r="BU45"/>
      <c r="BV45"/>
      <c r="BW45"/>
      <c r="BX45"/>
      <c r="BY45"/>
      <c r="BZ45"/>
      <c r="CA45"/>
      <c r="CB45"/>
      <c r="CC45"/>
      <c r="CD45"/>
      <c r="CE45"/>
      <c r="CF45"/>
    </row>
    <row r="46" spans="1:84">
      <c r="A46"/>
      <c r="B46"/>
      <c r="C46"/>
      <c r="D46"/>
      <c r="E46"/>
      <c r="F46"/>
      <c r="G46"/>
      <c r="H46"/>
      <c r="I46"/>
      <c r="J46"/>
      <c r="K46"/>
      <c r="L46"/>
      <c r="M46"/>
      <c r="N46"/>
      <c r="O46"/>
      <c r="P46"/>
      <c r="Q46"/>
      <c r="R46"/>
      <c r="S46" s="984"/>
      <c r="T46" s="984"/>
      <c r="U46" s="984"/>
      <c r="V46" s="984"/>
      <c r="W46" s="984"/>
      <c r="X46" s="984"/>
      <c r="Y46" s="984"/>
      <c r="Z46" s="984"/>
      <c r="AA46" s="984"/>
      <c r="AB46"/>
      <c r="AC46" s="981"/>
      <c r="AD46"/>
      <c r="AE46"/>
      <c r="AF46"/>
      <c r="AG46"/>
      <c r="AH46"/>
      <c r="AI46"/>
      <c r="AJ46"/>
      <c r="AK46"/>
      <c r="AL46"/>
      <c r="AM46"/>
      <c r="AN46"/>
      <c r="AO46"/>
      <c r="AP46"/>
      <c r="AQ46"/>
      <c r="AR46"/>
      <c r="AS46"/>
      <c r="AT46"/>
      <c r="AU46"/>
      <c r="BU46"/>
      <c r="BV46"/>
      <c r="BW46"/>
      <c r="BX46"/>
      <c r="BY46"/>
      <c r="BZ46"/>
      <c r="CA46"/>
      <c r="CB46"/>
      <c r="CC46"/>
      <c r="CD46"/>
      <c r="CE46"/>
      <c r="CF46"/>
    </row>
    <row r="47" spans="1:84">
      <c r="A47"/>
      <c r="B47"/>
      <c r="C47"/>
      <c r="D47"/>
      <c r="E47"/>
      <c r="F47"/>
      <c r="G47"/>
      <c r="H47"/>
      <c r="I47"/>
      <c r="J47"/>
      <c r="K47"/>
      <c r="L47"/>
      <c r="M47"/>
      <c r="N47"/>
      <c r="O47"/>
      <c r="P47"/>
      <c r="Q47"/>
      <c r="R47"/>
      <c r="S47" s="984"/>
      <c r="T47" s="984"/>
      <c r="U47" s="984"/>
      <c r="V47" s="984"/>
      <c r="W47" s="984"/>
      <c r="X47" s="984"/>
      <c r="Y47" s="984"/>
      <c r="Z47" s="984"/>
      <c r="AA47" s="984"/>
      <c r="AB47"/>
      <c r="AC47" s="981"/>
      <c r="AD47"/>
      <c r="AE47"/>
      <c r="AF47"/>
      <c r="AG47"/>
      <c r="AH47"/>
      <c r="AI47"/>
      <c r="AJ47"/>
      <c r="AK47"/>
      <c r="AL47"/>
      <c r="AM47"/>
      <c r="AN47"/>
      <c r="AO47"/>
      <c r="AP47"/>
      <c r="AQ47"/>
      <c r="AR47"/>
      <c r="AS47"/>
      <c r="AT47"/>
      <c r="AU47"/>
      <c r="BU47"/>
      <c r="BV47"/>
      <c r="BW47"/>
      <c r="BX47"/>
      <c r="BY47"/>
      <c r="BZ47"/>
      <c r="CA47"/>
      <c r="CB47"/>
      <c r="CC47"/>
      <c r="CD47"/>
      <c r="CE47"/>
      <c r="CF47"/>
    </row>
    <row r="48" spans="1:84">
      <c r="A48"/>
      <c r="B48"/>
      <c r="C48"/>
      <c r="D48"/>
      <c r="E48"/>
      <c r="F48"/>
      <c r="G48"/>
      <c r="H48"/>
      <c r="I48"/>
      <c r="J48"/>
      <c r="K48"/>
      <c r="L48"/>
      <c r="M48"/>
      <c r="N48"/>
      <c r="O48"/>
      <c r="P48"/>
      <c r="Q48"/>
      <c r="R48"/>
      <c r="S48" s="984"/>
      <c r="T48" s="984"/>
      <c r="U48" s="984"/>
      <c r="V48" s="984"/>
      <c r="W48" s="984"/>
      <c r="X48" s="984"/>
      <c r="Y48" s="984"/>
      <c r="Z48" s="984"/>
      <c r="AA48" s="984"/>
      <c r="AB48"/>
      <c r="AC48" s="981"/>
      <c r="AD48"/>
      <c r="AE48"/>
      <c r="AF48"/>
      <c r="AG48"/>
      <c r="AH48"/>
      <c r="AI48"/>
      <c r="AJ48"/>
      <c r="AK48"/>
      <c r="AL48"/>
      <c r="AM48"/>
      <c r="AN48"/>
      <c r="AO48"/>
      <c r="AP48"/>
      <c r="AQ48"/>
      <c r="AR48"/>
      <c r="AS48"/>
      <c r="AT48"/>
      <c r="AU48"/>
      <c r="BU48"/>
      <c r="BV48"/>
      <c r="BW48"/>
      <c r="BX48"/>
      <c r="BY48"/>
      <c r="BZ48"/>
      <c r="CA48"/>
      <c r="CB48"/>
      <c r="CC48"/>
      <c r="CD48"/>
      <c r="CE48"/>
      <c r="CF48"/>
    </row>
    <row r="49" spans="1:84">
      <c r="A49"/>
      <c r="B49"/>
      <c r="C49"/>
      <c r="D49"/>
      <c r="E49"/>
      <c r="F49"/>
      <c r="G49"/>
      <c r="H49"/>
      <c r="I49"/>
      <c r="J49"/>
      <c r="K49"/>
      <c r="L49"/>
      <c r="M49"/>
      <c r="N49"/>
      <c r="O49"/>
      <c r="P49"/>
      <c r="Q49"/>
      <c r="R49"/>
      <c r="S49" s="984"/>
      <c r="T49" s="984"/>
      <c r="U49" s="984"/>
      <c r="V49" s="984"/>
      <c r="W49" s="984"/>
      <c r="X49" s="984"/>
      <c r="Y49" s="984"/>
      <c r="Z49" s="984"/>
      <c r="AA49" s="984"/>
      <c r="AB49"/>
      <c r="AC49" s="981"/>
      <c r="AD49"/>
      <c r="AE49"/>
      <c r="AF49"/>
      <c r="AG49"/>
      <c r="AH49"/>
      <c r="AI49"/>
      <c r="AJ49"/>
      <c r="AK49"/>
      <c r="AL49"/>
      <c r="AM49"/>
      <c r="AN49"/>
      <c r="AO49"/>
      <c r="AP49"/>
      <c r="AQ49"/>
      <c r="AR49"/>
      <c r="AS49"/>
      <c r="AT49"/>
      <c r="AU49"/>
      <c r="BU49"/>
      <c r="BV49"/>
      <c r="BW49"/>
      <c r="BX49"/>
      <c r="BY49"/>
      <c r="BZ49"/>
      <c r="CA49"/>
      <c r="CB49"/>
      <c r="CC49"/>
      <c r="CD49"/>
      <c r="CE49"/>
      <c r="CF49"/>
    </row>
    <row r="50" spans="1:84">
      <c r="A50"/>
      <c r="B50"/>
      <c r="C50"/>
      <c r="D50"/>
      <c r="E50"/>
      <c r="F50"/>
      <c r="G50"/>
      <c r="H50"/>
      <c r="I50"/>
      <c r="J50"/>
      <c r="K50"/>
      <c r="L50"/>
      <c r="M50"/>
      <c r="N50"/>
      <c r="O50"/>
      <c r="P50"/>
      <c r="Q50"/>
      <c r="R50"/>
      <c r="S50" s="984"/>
      <c r="T50" s="984"/>
      <c r="U50" s="984"/>
      <c r="V50" s="984"/>
      <c r="W50" s="984"/>
      <c r="X50" s="984"/>
      <c r="Y50" s="984"/>
      <c r="Z50" s="984"/>
      <c r="AA50" s="984"/>
      <c r="AB50"/>
      <c r="AC50" s="981"/>
      <c r="AD50"/>
      <c r="AE50"/>
      <c r="AF50"/>
      <c r="AG50"/>
      <c r="AH50"/>
      <c r="AI50"/>
      <c r="AJ50"/>
      <c r="AK50"/>
      <c r="AL50"/>
      <c r="AM50"/>
      <c r="AN50"/>
      <c r="AO50"/>
      <c r="AP50"/>
      <c r="AQ50"/>
      <c r="AR50"/>
      <c r="AS50"/>
      <c r="AT50"/>
      <c r="AU50"/>
      <c r="BU50"/>
      <c r="BV50"/>
      <c r="BW50"/>
      <c r="BX50"/>
      <c r="BY50"/>
      <c r="BZ50"/>
      <c r="CA50"/>
      <c r="CB50"/>
      <c r="CC50"/>
      <c r="CD50"/>
      <c r="CE50"/>
      <c r="CF50"/>
    </row>
    <row r="51" spans="1:84">
      <c r="A51"/>
      <c r="B51"/>
      <c r="C51"/>
      <c r="D51"/>
      <c r="E51"/>
      <c r="F51"/>
      <c r="G51"/>
      <c r="H51"/>
      <c r="I51"/>
      <c r="J51"/>
      <c r="K51"/>
      <c r="L51"/>
      <c r="M51"/>
      <c r="N51"/>
      <c r="O51"/>
      <c r="P51"/>
      <c r="Q51"/>
      <c r="R51"/>
      <c r="S51" s="984"/>
      <c r="T51" s="984"/>
      <c r="U51" s="984"/>
      <c r="V51" s="984"/>
      <c r="W51" s="984"/>
      <c r="X51" s="984"/>
      <c r="Y51" s="984"/>
      <c r="Z51" s="984"/>
      <c r="AA51" s="984"/>
      <c r="AB51"/>
      <c r="AC51" s="981"/>
      <c r="AD51"/>
      <c r="AE51"/>
      <c r="AF51"/>
      <c r="AG51"/>
      <c r="AH51"/>
      <c r="AI51"/>
      <c r="AJ51"/>
      <c r="AK51"/>
      <c r="AL51"/>
      <c r="AM51"/>
      <c r="AN51"/>
      <c r="AO51"/>
      <c r="AP51"/>
      <c r="AQ51"/>
      <c r="AR51"/>
      <c r="AS51"/>
      <c r="AT51"/>
      <c r="AU51"/>
      <c r="BU51"/>
      <c r="BV51"/>
      <c r="BW51"/>
      <c r="BX51"/>
      <c r="BY51"/>
      <c r="BZ51"/>
      <c r="CA51"/>
      <c r="CB51"/>
      <c r="CC51"/>
      <c r="CD51"/>
      <c r="CE51"/>
      <c r="CF51"/>
    </row>
    <row r="52" spans="1:84">
      <c r="A52"/>
      <c r="B52"/>
      <c r="C52"/>
      <c r="D52"/>
      <c r="E52"/>
      <c r="F52"/>
      <c r="G52"/>
      <c r="H52"/>
      <c r="I52"/>
      <c r="J52"/>
      <c r="K52"/>
      <c r="L52"/>
      <c r="M52"/>
      <c r="N52"/>
      <c r="O52"/>
      <c r="P52"/>
      <c r="Q52"/>
      <c r="R52"/>
      <c r="S52" s="984"/>
      <c r="T52" s="984"/>
      <c r="U52" s="984"/>
      <c r="V52" s="984"/>
      <c r="W52" s="984"/>
      <c r="X52" s="984"/>
      <c r="Y52" s="984"/>
      <c r="Z52" s="984"/>
      <c r="AA52" s="984"/>
      <c r="AB52"/>
      <c r="AC52" s="981"/>
      <c r="AD52"/>
      <c r="AE52"/>
      <c r="AF52"/>
      <c r="AG52"/>
      <c r="AH52"/>
      <c r="AI52"/>
      <c r="AJ52"/>
      <c r="AK52"/>
      <c r="AL52"/>
      <c r="AM52"/>
      <c r="AN52"/>
      <c r="AO52"/>
      <c r="AP52"/>
      <c r="AQ52"/>
      <c r="AR52"/>
      <c r="AS52"/>
      <c r="AT52"/>
      <c r="AU52"/>
      <c r="BU52"/>
      <c r="BV52"/>
      <c r="BW52"/>
      <c r="BX52"/>
      <c r="BY52"/>
      <c r="BZ52"/>
      <c r="CA52"/>
      <c r="CB52"/>
      <c r="CC52"/>
      <c r="CD52"/>
      <c r="CE52"/>
      <c r="CF52"/>
    </row>
    <row r="53" spans="1:84">
      <c r="A53"/>
      <c r="B53"/>
      <c r="C53"/>
      <c r="D53"/>
      <c r="E53"/>
      <c r="F53"/>
      <c r="G53"/>
      <c r="H53"/>
      <c r="I53"/>
      <c r="J53"/>
      <c r="K53"/>
      <c r="L53"/>
      <c r="M53"/>
      <c r="N53"/>
      <c r="O53"/>
      <c r="P53"/>
      <c r="Q53"/>
      <c r="R53"/>
      <c r="S53" s="984"/>
      <c r="T53" s="984"/>
      <c r="U53" s="984"/>
      <c r="V53" s="984"/>
      <c r="W53" s="984"/>
      <c r="X53" s="984"/>
      <c r="Y53" s="984"/>
      <c r="Z53" s="984"/>
      <c r="AA53" s="984"/>
      <c r="AB53"/>
      <c r="AC53" s="981"/>
      <c r="AD53"/>
      <c r="AE53"/>
      <c r="AF53"/>
      <c r="AG53"/>
      <c r="AH53"/>
      <c r="AI53"/>
      <c r="AJ53"/>
      <c r="AK53"/>
      <c r="AL53"/>
      <c r="AM53"/>
      <c r="AN53"/>
      <c r="AO53"/>
      <c r="AP53"/>
      <c r="AQ53"/>
      <c r="AR53"/>
      <c r="AS53"/>
      <c r="AT53"/>
      <c r="AU53"/>
      <c r="BU53"/>
      <c r="BV53"/>
      <c r="BW53"/>
      <c r="BX53"/>
      <c r="BY53"/>
      <c r="BZ53"/>
      <c r="CA53"/>
      <c r="CB53"/>
      <c r="CC53"/>
      <c r="CD53"/>
      <c r="CE53"/>
      <c r="CF53"/>
    </row>
    <row r="54" spans="1:84">
      <c r="A54"/>
      <c r="B54"/>
      <c r="C54"/>
      <c r="D54"/>
      <c r="E54"/>
      <c r="F54"/>
      <c r="G54"/>
      <c r="H54"/>
      <c r="I54"/>
      <c r="J54"/>
      <c r="K54"/>
      <c r="L54"/>
      <c r="M54"/>
      <c r="N54"/>
      <c r="O54"/>
      <c r="P54"/>
      <c r="Q54"/>
      <c r="R54"/>
      <c r="S54" s="984"/>
      <c r="T54" s="984"/>
      <c r="U54" s="984"/>
      <c r="V54" s="984"/>
      <c r="W54" s="984"/>
      <c r="X54" s="984"/>
      <c r="Y54" s="984"/>
      <c r="Z54" s="984"/>
      <c r="AA54" s="984"/>
      <c r="AB54"/>
      <c r="AC54" s="981"/>
      <c r="AD54"/>
      <c r="AE54"/>
      <c r="AF54"/>
      <c r="AG54"/>
      <c r="AH54"/>
      <c r="AI54"/>
      <c r="AJ54"/>
      <c r="AK54"/>
      <c r="AL54"/>
      <c r="AM54"/>
      <c r="AN54"/>
      <c r="AO54"/>
      <c r="AP54"/>
      <c r="AQ54"/>
      <c r="AR54"/>
      <c r="AS54"/>
      <c r="AT54"/>
      <c r="AU54"/>
      <c r="BU54"/>
      <c r="BV54"/>
      <c r="BW54"/>
      <c r="BX54"/>
      <c r="BY54"/>
      <c r="BZ54"/>
      <c r="CA54"/>
      <c r="CB54"/>
      <c r="CC54"/>
      <c r="CD54"/>
      <c r="CE54"/>
      <c r="CF54"/>
    </row>
    <row r="55" spans="1:84">
      <c r="A55"/>
      <c r="B55"/>
      <c r="C55"/>
      <c r="D55"/>
      <c r="E55"/>
      <c r="F55"/>
      <c r="G55"/>
      <c r="H55"/>
      <c r="I55"/>
      <c r="J55"/>
      <c r="K55"/>
      <c r="L55"/>
      <c r="M55"/>
      <c r="N55"/>
      <c r="O55"/>
      <c r="P55"/>
      <c r="Q55"/>
      <c r="R55"/>
      <c r="S55" s="984"/>
      <c r="T55" s="984"/>
      <c r="U55" s="984"/>
      <c r="V55" s="984"/>
      <c r="W55" s="984"/>
      <c r="X55" s="984"/>
      <c r="Y55" s="984"/>
      <c r="Z55" s="984"/>
      <c r="AA55" s="984"/>
      <c r="AB55"/>
      <c r="AC55" s="981"/>
      <c r="AD55"/>
      <c r="AE55"/>
      <c r="AF55"/>
      <c r="AG55"/>
      <c r="AH55"/>
      <c r="AI55"/>
      <c r="AJ55"/>
      <c r="AK55"/>
      <c r="AL55"/>
      <c r="AM55"/>
      <c r="AN55"/>
      <c r="AO55"/>
      <c r="AP55"/>
      <c r="AQ55"/>
      <c r="AR55"/>
      <c r="AS55"/>
      <c r="AT55"/>
      <c r="AU55"/>
      <c r="BU55"/>
      <c r="BV55"/>
      <c r="BW55"/>
      <c r="BX55"/>
      <c r="BY55"/>
      <c r="BZ55"/>
      <c r="CA55"/>
      <c r="CB55"/>
      <c r="CC55"/>
      <c r="CD55"/>
      <c r="CE55"/>
      <c r="CF55"/>
    </row>
    <row r="56" spans="1:84">
      <c r="A56"/>
      <c r="B56"/>
      <c r="C56"/>
      <c r="D56"/>
      <c r="E56"/>
      <c r="F56"/>
      <c r="G56"/>
      <c r="H56"/>
      <c r="I56"/>
      <c r="J56"/>
      <c r="K56"/>
      <c r="L56"/>
      <c r="M56"/>
      <c r="N56"/>
      <c r="O56"/>
      <c r="P56"/>
      <c r="Q56"/>
      <c r="R56"/>
      <c r="S56" s="984"/>
      <c r="T56" s="984"/>
      <c r="U56" s="984"/>
      <c r="V56" s="984"/>
      <c r="W56" s="984"/>
      <c r="X56" s="984"/>
      <c r="Y56" s="984"/>
      <c r="Z56" s="984"/>
      <c r="AA56" s="984"/>
      <c r="AB56"/>
      <c r="AC56" s="981"/>
      <c r="AD56"/>
      <c r="AE56"/>
      <c r="AF56"/>
      <c r="AG56"/>
      <c r="AH56"/>
      <c r="AI56"/>
      <c r="AJ56"/>
      <c r="AK56"/>
      <c r="AL56"/>
      <c r="AM56"/>
      <c r="AN56"/>
      <c r="AO56"/>
      <c r="AP56"/>
      <c r="AQ56"/>
      <c r="AR56"/>
      <c r="AS56"/>
      <c r="AT56"/>
      <c r="AU56"/>
      <c r="BU56"/>
      <c r="BV56"/>
      <c r="BW56"/>
      <c r="BX56"/>
      <c r="BY56"/>
      <c r="BZ56"/>
      <c r="CA56"/>
      <c r="CB56"/>
      <c r="CC56"/>
      <c r="CD56"/>
      <c r="CE56"/>
      <c r="CF56"/>
    </row>
    <row r="57" spans="1:84">
      <c r="A57"/>
      <c r="B57"/>
      <c r="C57"/>
      <c r="D57"/>
      <c r="E57"/>
      <c r="F57"/>
      <c r="G57"/>
      <c r="H57"/>
      <c r="I57"/>
      <c r="J57"/>
      <c r="K57"/>
      <c r="L57"/>
      <c r="M57"/>
      <c r="N57"/>
      <c r="O57"/>
      <c r="P57"/>
      <c r="Q57"/>
      <c r="R57"/>
      <c r="S57" s="984"/>
      <c r="T57" s="984"/>
      <c r="U57" s="984"/>
      <c r="V57" s="984"/>
      <c r="W57" s="984"/>
      <c r="X57" s="984"/>
      <c r="Y57" s="984"/>
      <c r="Z57" s="984"/>
      <c r="AA57" s="984"/>
      <c r="AB57"/>
      <c r="AC57" s="981"/>
      <c r="AD57"/>
      <c r="AE57"/>
      <c r="AF57"/>
      <c r="AG57"/>
      <c r="AH57"/>
      <c r="AI57"/>
      <c r="AJ57"/>
      <c r="AK57"/>
      <c r="AL57"/>
      <c r="AM57"/>
      <c r="AN57"/>
      <c r="AO57"/>
      <c r="AP57"/>
      <c r="AQ57"/>
      <c r="AR57"/>
      <c r="AS57"/>
      <c r="AT57"/>
      <c r="AU57"/>
      <c r="BU57"/>
      <c r="BV57"/>
      <c r="BW57"/>
      <c r="BX57"/>
      <c r="BY57"/>
      <c r="BZ57"/>
      <c r="CA57"/>
      <c r="CB57"/>
      <c r="CC57"/>
      <c r="CD57"/>
      <c r="CE57"/>
      <c r="CF57"/>
    </row>
    <row r="58" spans="1:84">
      <c r="A58"/>
      <c r="B58"/>
      <c r="C58"/>
      <c r="D58"/>
      <c r="E58"/>
      <c r="F58"/>
      <c r="G58"/>
      <c r="H58"/>
      <c r="I58"/>
      <c r="J58"/>
      <c r="K58"/>
      <c r="L58"/>
      <c r="M58"/>
      <c r="N58"/>
      <c r="O58"/>
      <c r="P58"/>
      <c r="Q58"/>
      <c r="R58"/>
      <c r="S58" s="984"/>
      <c r="T58" s="984"/>
      <c r="U58" s="984"/>
      <c r="V58" s="984"/>
      <c r="W58" s="984"/>
      <c r="X58" s="984"/>
      <c r="Y58" s="984"/>
      <c r="Z58" s="984"/>
      <c r="AA58" s="984"/>
      <c r="AB58"/>
      <c r="AC58" s="981"/>
      <c r="AD58"/>
      <c r="AE58"/>
      <c r="AF58"/>
      <c r="AG58"/>
      <c r="AH58"/>
      <c r="AI58"/>
      <c r="AJ58"/>
      <c r="AK58"/>
      <c r="AL58"/>
      <c r="AM58"/>
      <c r="AN58"/>
      <c r="AO58"/>
      <c r="AP58"/>
      <c r="AQ58"/>
      <c r="AR58"/>
      <c r="AS58"/>
      <c r="AT58"/>
      <c r="AU58"/>
      <c r="BU58"/>
      <c r="BV58"/>
      <c r="BW58"/>
      <c r="BX58"/>
      <c r="BY58"/>
      <c r="BZ58"/>
      <c r="CA58"/>
      <c r="CB58"/>
      <c r="CC58"/>
      <c r="CD58"/>
      <c r="CE58"/>
      <c r="CF58"/>
    </row>
    <row r="59" spans="1:84">
      <c r="A59"/>
      <c r="B59"/>
      <c r="C59"/>
      <c r="D59"/>
      <c r="E59"/>
      <c r="F59"/>
      <c r="G59"/>
      <c r="H59"/>
      <c r="I59"/>
      <c r="J59"/>
      <c r="K59"/>
      <c r="L59"/>
      <c r="M59"/>
      <c r="N59"/>
      <c r="O59"/>
      <c r="P59"/>
      <c r="Q59"/>
      <c r="R59"/>
      <c r="S59" s="984"/>
      <c r="T59" s="984"/>
      <c r="U59" s="984"/>
      <c r="V59" s="984"/>
      <c r="W59" s="984"/>
      <c r="X59" s="984"/>
      <c r="Y59" s="984"/>
      <c r="Z59" s="984"/>
      <c r="AA59" s="984"/>
      <c r="AB59"/>
      <c r="AC59" s="981"/>
      <c r="AD59"/>
      <c r="AE59"/>
      <c r="AF59"/>
      <c r="AG59"/>
      <c r="AH59"/>
      <c r="AI59"/>
      <c r="AJ59"/>
      <c r="AK59"/>
      <c r="AL59"/>
      <c r="AM59"/>
      <c r="AN59"/>
      <c r="AO59"/>
      <c r="AP59"/>
      <c r="AQ59"/>
      <c r="AR59"/>
      <c r="AS59"/>
      <c r="AT59"/>
      <c r="AU59"/>
      <c r="BU59"/>
      <c r="BV59"/>
      <c r="BW59"/>
      <c r="BX59"/>
      <c r="BY59"/>
      <c r="BZ59"/>
      <c r="CA59"/>
      <c r="CB59"/>
      <c r="CC59"/>
      <c r="CD59"/>
      <c r="CE59"/>
      <c r="CF59"/>
    </row>
    <row r="60" spans="1:84">
      <c r="A60" s="13"/>
      <c r="B60" s="13"/>
      <c r="C60" s="13"/>
      <c r="E60" s="13"/>
      <c r="F60" s="13"/>
      <c r="G60" s="13"/>
      <c r="H60" s="13"/>
      <c r="I60" s="13"/>
      <c r="J60" s="13"/>
      <c r="K60" s="13"/>
      <c r="L60" s="13"/>
      <c r="M60" s="13"/>
      <c r="N60" s="13"/>
      <c r="O60" s="13"/>
      <c r="P60" s="13"/>
      <c r="Q60" s="13"/>
      <c r="AB60" s="13"/>
      <c r="AC60" s="260"/>
      <c r="AD60" s="13"/>
      <c r="AE60" s="13"/>
      <c r="AF60" s="13"/>
      <c r="AG60" s="13"/>
      <c r="AH60" s="13"/>
      <c r="AI60" s="13"/>
      <c r="AJ60" s="13"/>
      <c r="AK60" s="13"/>
      <c r="AL60" s="13"/>
      <c r="AM60" s="13"/>
      <c r="AN60" s="13"/>
      <c r="AO60" s="13"/>
      <c r="AP60" s="13"/>
      <c r="AQ60" s="13"/>
      <c r="AR60" s="13"/>
      <c r="AS60" s="13"/>
      <c r="AT60" s="14"/>
      <c r="AU60" s="962"/>
      <c r="AW60" s="13"/>
      <c r="AY60" s="13"/>
      <c r="BA60" s="13"/>
      <c r="BC60" s="13"/>
      <c r="BE60" s="13"/>
      <c r="BG60" s="13"/>
      <c r="BI60" s="13"/>
      <c r="BK60" s="13"/>
      <c r="BM60" s="13"/>
      <c r="BO60" s="13"/>
      <c r="BP60" s="13"/>
      <c r="BQ60" s="13"/>
      <c r="BR60" s="13"/>
      <c r="BS60" s="13"/>
      <c r="BU60"/>
      <c r="BV60"/>
      <c r="BW60"/>
      <c r="BX60"/>
      <c r="BY60"/>
      <c r="BZ60"/>
      <c r="CA60"/>
      <c r="CB60"/>
      <c r="CC60"/>
      <c r="CD60"/>
      <c r="CE60"/>
      <c r="CF60"/>
    </row>
    <row r="61" spans="1:84">
      <c r="A61" s="13"/>
      <c r="B61" s="13"/>
      <c r="C61" s="13"/>
      <c r="E61" s="13"/>
      <c r="F61" s="13"/>
      <c r="G61" s="13"/>
      <c r="H61" s="13"/>
      <c r="I61" s="13"/>
      <c r="J61" s="13"/>
      <c r="K61" s="13"/>
      <c r="L61" s="13"/>
      <c r="M61" s="13"/>
      <c r="N61" s="13"/>
      <c r="O61" s="13"/>
      <c r="P61" s="13"/>
      <c r="Q61" s="13"/>
      <c r="AB61" s="13"/>
      <c r="AC61" s="260"/>
      <c r="AD61" s="13"/>
      <c r="AE61" s="13"/>
      <c r="AF61" s="13"/>
      <c r="AG61" s="13"/>
      <c r="AH61" s="13"/>
      <c r="AI61" s="13"/>
      <c r="AJ61" s="13"/>
      <c r="AK61" s="13"/>
      <c r="AL61" s="13"/>
      <c r="AM61" s="13"/>
      <c r="AN61" s="13"/>
      <c r="AO61" s="13"/>
      <c r="AP61" s="13"/>
      <c r="AQ61" s="13"/>
      <c r="AR61" s="13"/>
      <c r="AS61" s="13"/>
      <c r="AT61" s="14"/>
      <c r="AU61" s="962"/>
      <c r="AW61" s="13"/>
      <c r="AY61" s="13"/>
      <c r="BA61" s="13"/>
      <c r="BC61" s="13"/>
      <c r="BE61" s="13"/>
      <c r="BG61" s="13"/>
      <c r="BI61" s="13"/>
      <c r="BK61" s="13"/>
      <c r="BM61" s="13"/>
      <c r="BO61" s="13"/>
      <c r="BP61" s="13"/>
      <c r="BQ61" s="13"/>
      <c r="BR61" s="13"/>
      <c r="BS61" s="13"/>
      <c r="BU61"/>
      <c r="BV61"/>
      <c r="BW61"/>
      <c r="BX61"/>
      <c r="BY61"/>
      <c r="BZ61"/>
      <c r="CA61"/>
      <c r="CB61"/>
      <c r="CC61"/>
      <c r="CD61"/>
      <c r="CE61"/>
      <c r="CF61"/>
    </row>
    <row r="62" spans="1:84">
      <c r="A62" s="13"/>
      <c r="B62" s="13"/>
      <c r="C62" s="13"/>
      <c r="E62" s="13"/>
      <c r="F62" s="13"/>
      <c r="G62" s="13"/>
      <c r="H62" s="13"/>
      <c r="I62" s="13"/>
      <c r="J62" s="13"/>
      <c r="K62" s="13"/>
      <c r="L62" s="13"/>
      <c r="M62" s="13"/>
      <c r="N62" s="13"/>
      <c r="O62" s="13"/>
      <c r="P62" s="13"/>
      <c r="Q62" s="13"/>
      <c r="AB62" s="13"/>
      <c r="AC62" s="260"/>
      <c r="AD62" s="13"/>
      <c r="AE62" s="13"/>
      <c r="AF62" s="13"/>
      <c r="AG62" s="13"/>
      <c r="AH62" s="13"/>
      <c r="AI62" s="13"/>
      <c r="AJ62" s="13"/>
      <c r="AK62" s="13"/>
      <c r="AL62" s="13"/>
      <c r="AM62" s="13"/>
      <c r="AN62" s="13"/>
      <c r="AO62" s="13"/>
      <c r="AP62" s="13"/>
      <c r="AQ62" s="13"/>
      <c r="AR62" s="13"/>
      <c r="AS62" s="13"/>
      <c r="AT62" s="14"/>
      <c r="AU62" s="962"/>
      <c r="AW62" s="13"/>
      <c r="AY62" s="13"/>
      <c r="BA62" s="13"/>
      <c r="BC62" s="13"/>
      <c r="BE62" s="13"/>
      <c r="BG62" s="13"/>
      <c r="BI62" s="13"/>
      <c r="BK62" s="13"/>
      <c r="BM62" s="13"/>
      <c r="BO62" s="13"/>
      <c r="BP62" s="13"/>
      <c r="BQ62" s="13"/>
      <c r="BR62" s="13"/>
      <c r="BS62" s="13"/>
    </row>
    <row r="63" spans="1:84">
      <c r="A63" s="13"/>
      <c r="B63" s="13"/>
      <c r="C63" s="13"/>
      <c r="E63" s="13"/>
      <c r="F63" s="13"/>
      <c r="G63" s="13"/>
      <c r="H63" s="13"/>
      <c r="I63" s="13"/>
      <c r="J63" s="13"/>
      <c r="K63" s="13"/>
      <c r="L63" s="13"/>
      <c r="M63" s="13"/>
      <c r="N63" s="13"/>
      <c r="O63" s="13"/>
      <c r="P63" s="13"/>
      <c r="Q63" s="13"/>
      <c r="AB63" s="13"/>
      <c r="AC63" s="260"/>
      <c r="AD63" s="13"/>
      <c r="AE63" s="13"/>
      <c r="AF63" s="13"/>
      <c r="AG63" s="13"/>
      <c r="AH63" s="13"/>
      <c r="AI63" s="13"/>
      <c r="AJ63" s="13"/>
      <c r="AK63" s="13"/>
      <c r="AL63" s="13"/>
      <c r="AM63" s="13"/>
      <c r="AN63" s="13"/>
      <c r="AO63" s="13"/>
      <c r="AP63" s="13"/>
      <c r="AQ63" s="13"/>
      <c r="AR63" s="13"/>
      <c r="AS63" s="13"/>
      <c r="AT63" s="14"/>
      <c r="AU63" s="962"/>
      <c r="AW63" s="13"/>
      <c r="AY63" s="13"/>
      <c r="BA63" s="13"/>
      <c r="BC63" s="13"/>
      <c r="BE63" s="13"/>
      <c r="BG63" s="13"/>
      <c r="BI63" s="13"/>
      <c r="BK63" s="13"/>
      <c r="BM63" s="13"/>
      <c r="BO63" s="13"/>
      <c r="BP63" s="13"/>
      <c r="BQ63" s="13"/>
      <c r="BR63" s="13"/>
      <c r="BS63" s="13"/>
    </row>
    <row r="64" spans="1:84">
      <c r="A64" s="13"/>
      <c r="B64" s="13"/>
      <c r="C64" s="13"/>
      <c r="E64" s="13"/>
      <c r="F64" s="13"/>
      <c r="G64" s="13"/>
      <c r="H64" s="13"/>
      <c r="I64" s="13"/>
      <c r="J64" s="13"/>
      <c r="K64" s="13"/>
      <c r="L64" s="13"/>
      <c r="M64" s="13"/>
      <c r="N64" s="13"/>
      <c r="O64" s="13"/>
      <c r="P64" s="13"/>
      <c r="Q64" s="13"/>
      <c r="AB64" s="13"/>
      <c r="AC64" s="260"/>
      <c r="AD64" s="13"/>
      <c r="AE64" s="13"/>
      <c r="AF64" s="13"/>
      <c r="AG64" s="13"/>
      <c r="AH64" s="13"/>
      <c r="AI64" s="13"/>
      <c r="AJ64" s="13"/>
      <c r="AK64" s="13"/>
      <c r="AL64" s="13"/>
      <c r="AM64" s="13"/>
      <c r="AN64" s="13"/>
      <c r="AO64" s="13"/>
      <c r="AP64" s="13"/>
      <c r="AQ64" s="13"/>
      <c r="AR64" s="13"/>
      <c r="AS64" s="13"/>
      <c r="AT64" s="14"/>
      <c r="AU64" s="962"/>
      <c r="AW64" s="13"/>
      <c r="AY64" s="13"/>
      <c r="BA64" s="13"/>
      <c r="BC64" s="13"/>
      <c r="BE64" s="13"/>
      <c r="BG64" s="13"/>
      <c r="BI64" s="13"/>
      <c r="BK64" s="13"/>
      <c r="BM64" s="13"/>
      <c r="BO64" s="13"/>
      <c r="BP64" s="13"/>
      <c r="BQ64" s="13"/>
      <c r="BR64" s="13"/>
      <c r="BS64" s="13"/>
    </row>
    <row r="65" spans="1:71">
      <c r="A65" s="13"/>
      <c r="B65" s="13"/>
      <c r="C65" s="13"/>
      <c r="E65" s="13"/>
      <c r="F65" s="13"/>
      <c r="G65" s="13"/>
      <c r="H65" s="13"/>
      <c r="I65" s="13"/>
      <c r="J65" s="13"/>
      <c r="K65" s="13"/>
      <c r="L65" s="13"/>
      <c r="M65" s="13"/>
      <c r="N65" s="13"/>
      <c r="O65" s="13"/>
      <c r="P65" s="13"/>
      <c r="Q65" s="13"/>
      <c r="AB65" s="13"/>
      <c r="AC65" s="260"/>
      <c r="AD65" s="13"/>
      <c r="AE65" s="13"/>
      <c r="AF65" s="13"/>
      <c r="AG65" s="13"/>
      <c r="AH65" s="13"/>
      <c r="AI65" s="13"/>
      <c r="AJ65" s="13"/>
      <c r="AK65" s="13"/>
      <c r="AL65" s="13"/>
      <c r="AM65" s="13"/>
      <c r="AN65" s="13"/>
      <c r="AO65" s="13"/>
      <c r="AP65" s="13"/>
      <c r="AQ65" s="13"/>
      <c r="AR65" s="13"/>
      <c r="AS65" s="13"/>
      <c r="AT65" s="14"/>
      <c r="AU65" s="962"/>
      <c r="AW65" s="13"/>
      <c r="AY65" s="13"/>
      <c r="BA65" s="13"/>
      <c r="BC65" s="13"/>
      <c r="BE65" s="13"/>
      <c r="BG65" s="13"/>
      <c r="BI65" s="13"/>
      <c r="BK65" s="13"/>
      <c r="BM65" s="13"/>
      <c r="BO65" s="13"/>
      <c r="BP65" s="13"/>
      <c r="BQ65" s="13"/>
      <c r="BR65" s="13"/>
      <c r="BS65" s="13"/>
    </row>
    <row r="66" spans="1:71">
      <c r="A66" s="13"/>
      <c r="B66" s="13"/>
      <c r="C66" s="13"/>
      <c r="E66" s="13"/>
      <c r="F66" s="13"/>
      <c r="G66" s="13"/>
      <c r="H66" s="13"/>
      <c r="I66" s="13"/>
      <c r="J66" s="13"/>
      <c r="K66" s="13"/>
      <c r="L66" s="13"/>
      <c r="M66" s="13"/>
      <c r="N66" s="13"/>
      <c r="O66" s="13"/>
      <c r="P66" s="13"/>
      <c r="Q66" s="13"/>
      <c r="AB66" s="13"/>
      <c r="AC66" s="260"/>
      <c r="AD66" s="13"/>
      <c r="AE66" s="13"/>
      <c r="AF66" s="13"/>
      <c r="AG66" s="13"/>
      <c r="AH66" s="13"/>
      <c r="AI66" s="13"/>
      <c r="AJ66" s="13"/>
      <c r="AK66" s="13"/>
      <c r="AL66" s="13"/>
      <c r="AM66" s="13"/>
      <c r="AN66" s="13"/>
      <c r="AO66" s="13"/>
      <c r="AP66" s="13"/>
      <c r="AQ66" s="13"/>
      <c r="AR66" s="13"/>
      <c r="AS66" s="13"/>
      <c r="AT66" s="14"/>
      <c r="AU66" s="962"/>
      <c r="AW66" s="13"/>
      <c r="AY66" s="13"/>
      <c r="BA66" s="13"/>
      <c r="BC66" s="13"/>
      <c r="BE66" s="13"/>
      <c r="BG66" s="13"/>
      <c r="BI66" s="13"/>
      <c r="BK66" s="13"/>
      <c r="BM66" s="13"/>
      <c r="BO66" s="13"/>
      <c r="BP66" s="13"/>
      <c r="BQ66" s="13"/>
      <c r="BR66" s="13"/>
      <c r="BS66" s="13"/>
    </row>
    <row r="67" spans="1:71">
      <c r="A67" s="13"/>
      <c r="B67" s="13"/>
      <c r="C67" s="13"/>
      <c r="E67" s="13"/>
      <c r="F67" s="13"/>
      <c r="G67" s="13"/>
      <c r="H67" s="13"/>
      <c r="I67" s="13"/>
      <c r="J67" s="13"/>
      <c r="K67" s="13"/>
      <c r="L67" s="13"/>
      <c r="M67" s="13"/>
      <c r="N67" s="13"/>
      <c r="O67" s="13"/>
      <c r="P67" s="13"/>
      <c r="Q67" s="13"/>
      <c r="AB67" s="13"/>
      <c r="AC67" s="260"/>
      <c r="AD67" s="13"/>
      <c r="AE67" s="13"/>
      <c r="AF67" s="13"/>
      <c r="AG67" s="13"/>
      <c r="AH67" s="13"/>
      <c r="AI67" s="13"/>
      <c r="AJ67" s="13"/>
      <c r="AK67" s="13"/>
      <c r="AL67" s="13"/>
      <c r="AM67" s="13"/>
      <c r="AN67" s="13"/>
      <c r="AO67" s="13"/>
      <c r="AP67" s="13"/>
      <c r="AQ67" s="13"/>
      <c r="AR67" s="13"/>
      <c r="AS67" s="13"/>
      <c r="AT67" s="14"/>
      <c r="AU67" s="962"/>
      <c r="AW67" s="13"/>
      <c r="AY67" s="13"/>
      <c r="BA67" s="13"/>
      <c r="BC67" s="13"/>
      <c r="BE67" s="13"/>
      <c r="BG67" s="13"/>
      <c r="BI67" s="13"/>
      <c r="BK67" s="13"/>
      <c r="BM67" s="13"/>
      <c r="BO67" s="13"/>
      <c r="BP67" s="13"/>
      <c r="BQ67" s="13"/>
      <c r="BR67" s="13"/>
      <c r="BS67" s="13"/>
    </row>
    <row r="68" spans="1:71">
      <c r="A68" s="13"/>
      <c r="B68" s="13"/>
      <c r="C68" s="13"/>
      <c r="E68" s="13"/>
      <c r="F68" s="13"/>
      <c r="G68" s="13"/>
      <c r="H68" s="13"/>
      <c r="I68" s="13"/>
      <c r="J68" s="13"/>
      <c r="K68" s="13"/>
      <c r="L68" s="13"/>
      <c r="M68" s="13"/>
      <c r="N68" s="13"/>
      <c r="O68" s="13"/>
      <c r="P68" s="13"/>
      <c r="Q68" s="13"/>
      <c r="AB68" s="13"/>
      <c r="AC68" s="260"/>
      <c r="AD68" s="13"/>
      <c r="AE68" s="13"/>
      <c r="AF68" s="13"/>
      <c r="AG68" s="13"/>
      <c r="AH68" s="13"/>
      <c r="AI68" s="13"/>
      <c r="AJ68" s="13"/>
      <c r="AK68" s="13"/>
      <c r="AL68" s="13"/>
      <c r="AM68" s="13"/>
      <c r="AN68" s="13"/>
      <c r="AO68" s="13"/>
      <c r="AP68" s="13"/>
      <c r="AQ68" s="13"/>
      <c r="AR68" s="13"/>
      <c r="AS68" s="13"/>
      <c r="AT68" s="14"/>
      <c r="AU68" s="962"/>
      <c r="AW68" s="13"/>
      <c r="AY68" s="13"/>
      <c r="BA68" s="13"/>
      <c r="BC68" s="13"/>
      <c r="BE68" s="13"/>
      <c r="BG68" s="13"/>
      <c r="BI68" s="13"/>
      <c r="BK68" s="13"/>
      <c r="BM68" s="13"/>
      <c r="BO68" s="13"/>
      <c r="BP68" s="13"/>
      <c r="BQ68" s="13"/>
      <c r="BR68" s="13"/>
      <c r="BS68" s="13"/>
    </row>
    <row r="69" spans="1:71">
      <c r="A69" s="13"/>
      <c r="B69" s="13"/>
      <c r="C69" s="13"/>
      <c r="E69" s="13"/>
      <c r="F69" s="13"/>
      <c r="G69" s="13"/>
      <c r="H69" s="13"/>
      <c r="I69" s="13"/>
      <c r="J69" s="13"/>
      <c r="K69" s="13"/>
      <c r="L69" s="13"/>
      <c r="M69" s="13"/>
      <c r="N69" s="13"/>
      <c r="O69" s="13"/>
      <c r="P69" s="13"/>
      <c r="Q69" s="13"/>
      <c r="AB69" s="13"/>
      <c r="AC69" s="260"/>
      <c r="AD69" s="13"/>
      <c r="AE69" s="13"/>
      <c r="AF69" s="13"/>
      <c r="AG69" s="13"/>
      <c r="AH69" s="13"/>
      <c r="AI69" s="13"/>
      <c r="AJ69" s="13"/>
      <c r="AK69" s="13"/>
      <c r="AL69" s="13"/>
      <c r="AM69" s="13"/>
      <c r="AN69" s="13"/>
      <c r="AO69" s="13"/>
      <c r="AP69" s="13"/>
      <c r="AQ69" s="13"/>
      <c r="AR69" s="13"/>
      <c r="AS69" s="13"/>
      <c r="AT69" s="14"/>
      <c r="AU69" s="962"/>
      <c r="AW69" s="13"/>
      <c r="AY69" s="13"/>
      <c r="BA69" s="13"/>
      <c r="BC69" s="13"/>
      <c r="BE69" s="13"/>
      <c r="BG69" s="13"/>
      <c r="BI69" s="13"/>
      <c r="BK69" s="13"/>
      <c r="BM69" s="13"/>
      <c r="BO69" s="13"/>
      <c r="BP69" s="13"/>
      <c r="BQ69" s="13"/>
      <c r="BR69" s="13"/>
      <c r="BS69" s="13"/>
    </row>
    <row r="70" spans="1:71">
      <c r="A70" s="13"/>
      <c r="B70" s="13"/>
      <c r="C70" s="13"/>
      <c r="E70" s="13"/>
      <c r="F70" s="13"/>
      <c r="G70" s="13"/>
      <c r="H70" s="13"/>
      <c r="I70" s="13"/>
      <c r="J70" s="13"/>
      <c r="K70" s="13"/>
      <c r="L70" s="13"/>
      <c r="M70" s="13"/>
      <c r="N70" s="13"/>
      <c r="O70" s="13"/>
      <c r="P70" s="13"/>
      <c r="Q70" s="13"/>
      <c r="AB70" s="13"/>
      <c r="AC70" s="260"/>
      <c r="AD70" s="13"/>
      <c r="AE70" s="13"/>
      <c r="AF70" s="13"/>
      <c r="AG70" s="13"/>
      <c r="AH70" s="13"/>
      <c r="AI70" s="13"/>
      <c r="AJ70" s="13"/>
      <c r="AK70" s="13"/>
      <c r="AL70" s="13"/>
      <c r="AM70" s="13"/>
      <c r="AN70" s="13"/>
      <c r="AO70" s="13"/>
      <c r="AP70" s="13"/>
      <c r="AQ70" s="13"/>
      <c r="AR70" s="13"/>
      <c r="AS70" s="13"/>
      <c r="AT70" s="14"/>
      <c r="AU70" s="962"/>
      <c r="AW70" s="13"/>
      <c r="AY70" s="13"/>
      <c r="BA70" s="13"/>
      <c r="BC70" s="13"/>
      <c r="BE70" s="13"/>
      <c r="BG70" s="13"/>
      <c r="BI70" s="13"/>
      <c r="BK70" s="13"/>
      <c r="BM70" s="13"/>
      <c r="BO70" s="13"/>
      <c r="BP70" s="13"/>
      <c r="BQ70" s="13"/>
      <c r="BR70" s="13"/>
      <c r="BS70" s="13"/>
    </row>
    <row r="71" spans="1:71">
      <c r="A71" s="13"/>
      <c r="B71" s="13"/>
      <c r="C71" s="13"/>
      <c r="E71" s="13"/>
      <c r="F71" s="13"/>
      <c r="G71" s="13"/>
      <c r="H71" s="13"/>
      <c r="I71" s="13"/>
      <c r="J71" s="13"/>
      <c r="K71" s="13"/>
      <c r="L71" s="13"/>
      <c r="M71" s="13"/>
      <c r="N71" s="13"/>
      <c r="O71" s="13"/>
      <c r="P71" s="13"/>
      <c r="Q71" s="13"/>
      <c r="AB71" s="13"/>
      <c r="AC71" s="260"/>
      <c r="AD71" s="13"/>
      <c r="AE71" s="13"/>
      <c r="AF71" s="13"/>
      <c r="AG71" s="13"/>
      <c r="AH71" s="13"/>
      <c r="AI71" s="13"/>
      <c r="AJ71" s="13"/>
      <c r="AK71" s="13"/>
      <c r="AL71" s="13"/>
      <c r="AM71" s="13"/>
      <c r="AN71" s="13"/>
      <c r="AO71" s="13"/>
      <c r="AP71" s="13"/>
      <c r="AQ71" s="13"/>
      <c r="AR71" s="13"/>
      <c r="AS71" s="13"/>
      <c r="AT71" s="14"/>
      <c r="AU71" s="962"/>
      <c r="AW71" s="13"/>
      <c r="AY71" s="13"/>
      <c r="BA71" s="13"/>
      <c r="BC71" s="13"/>
      <c r="BE71" s="13"/>
      <c r="BG71" s="13"/>
      <c r="BI71" s="13"/>
      <c r="BK71" s="13"/>
      <c r="BM71" s="13"/>
      <c r="BO71" s="13"/>
      <c r="BP71" s="13"/>
      <c r="BQ71" s="13"/>
      <c r="BR71" s="13"/>
      <c r="BS71" s="13"/>
    </row>
    <row r="72" spans="1:71">
      <c r="A72" s="13"/>
      <c r="B72" s="13"/>
      <c r="C72" s="13"/>
      <c r="E72" s="13"/>
      <c r="F72" s="13"/>
      <c r="G72" s="13"/>
      <c r="H72" s="13"/>
      <c r="I72" s="13"/>
      <c r="J72" s="13"/>
      <c r="K72" s="13"/>
      <c r="L72" s="13"/>
      <c r="M72" s="13"/>
      <c r="N72" s="13"/>
      <c r="O72" s="13"/>
      <c r="P72" s="13"/>
      <c r="Q72" s="13"/>
      <c r="AB72" s="13"/>
      <c r="AC72" s="260"/>
      <c r="AD72" s="13"/>
      <c r="AE72" s="13"/>
      <c r="AF72" s="13"/>
      <c r="AG72" s="13"/>
      <c r="AH72" s="13"/>
      <c r="AI72" s="13"/>
      <c r="AJ72" s="13"/>
      <c r="AK72" s="13"/>
      <c r="AL72" s="13"/>
      <c r="AM72" s="13"/>
      <c r="AN72" s="13"/>
      <c r="AO72" s="13"/>
      <c r="AP72" s="13"/>
      <c r="AQ72" s="13"/>
      <c r="AR72" s="13"/>
      <c r="AS72" s="13"/>
      <c r="AT72" s="14"/>
      <c r="AU72" s="962"/>
      <c r="AW72" s="13"/>
      <c r="AY72" s="13"/>
      <c r="BA72" s="13"/>
      <c r="BC72" s="13"/>
      <c r="BE72" s="13"/>
      <c r="BG72" s="13"/>
      <c r="BI72" s="13"/>
      <c r="BK72" s="13"/>
      <c r="BM72" s="13"/>
      <c r="BO72" s="13"/>
      <c r="BP72" s="13"/>
      <c r="BQ72" s="13"/>
      <c r="BR72" s="13"/>
      <c r="BS72" s="13"/>
    </row>
    <row r="73" spans="1:71">
      <c r="A73" s="13"/>
      <c r="B73" s="13"/>
      <c r="C73" s="13"/>
      <c r="E73" s="13"/>
      <c r="F73" s="13"/>
      <c r="G73" s="13"/>
      <c r="H73" s="13"/>
      <c r="I73" s="13"/>
      <c r="J73" s="13"/>
      <c r="K73" s="13"/>
      <c r="L73" s="13"/>
      <c r="M73" s="13"/>
      <c r="N73" s="13"/>
      <c r="O73" s="13"/>
      <c r="P73" s="13"/>
      <c r="Q73" s="13"/>
      <c r="AB73" s="13"/>
      <c r="AC73" s="260"/>
      <c r="AD73" s="13"/>
      <c r="AE73" s="13"/>
      <c r="AF73" s="13"/>
      <c r="AG73" s="13"/>
      <c r="AH73" s="13"/>
      <c r="AI73" s="13"/>
      <c r="AJ73" s="13"/>
      <c r="AK73" s="13"/>
      <c r="AL73" s="13"/>
      <c r="AM73" s="13"/>
      <c r="AN73" s="13"/>
      <c r="AO73" s="13"/>
      <c r="AP73" s="13"/>
      <c r="AQ73" s="13"/>
      <c r="AR73" s="13"/>
      <c r="AS73" s="13"/>
      <c r="AT73" s="14"/>
      <c r="AU73" s="962"/>
      <c r="AW73" s="13"/>
      <c r="AY73" s="13"/>
      <c r="BA73" s="13"/>
      <c r="BC73" s="13"/>
      <c r="BE73" s="13"/>
      <c r="BG73" s="13"/>
      <c r="BI73" s="13"/>
      <c r="BK73" s="13"/>
      <c r="BM73" s="13"/>
      <c r="BO73" s="13"/>
      <c r="BP73" s="13"/>
      <c r="BQ73" s="13"/>
      <c r="BR73" s="13"/>
      <c r="BS73" s="13"/>
    </row>
    <row r="74" spans="1:71">
      <c r="A74" s="13"/>
      <c r="B74" s="13"/>
      <c r="C74" s="13"/>
      <c r="E74" s="13"/>
      <c r="F74" s="13"/>
      <c r="G74" s="13"/>
      <c r="H74" s="13"/>
      <c r="I74" s="13"/>
      <c r="J74" s="13"/>
      <c r="K74" s="13"/>
      <c r="L74" s="13"/>
      <c r="M74" s="13"/>
      <c r="N74" s="13"/>
      <c r="O74" s="13"/>
      <c r="P74" s="13"/>
      <c r="Q74" s="13"/>
      <c r="AB74" s="13"/>
      <c r="AC74" s="260"/>
      <c r="AD74" s="13"/>
      <c r="AE74" s="13"/>
      <c r="AF74" s="13"/>
      <c r="AG74" s="13"/>
      <c r="AH74" s="13"/>
      <c r="AI74" s="13"/>
      <c r="AJ74" s="13"/>
      <c r="AK74" s="13"/>
      <c r="AL74" s="13"/>
      <c r="AM74" s="13"/>
      <c r="AN74" s="13"/>
      <c r="AO74" s="13"/>
      <c r="AP74" s="13"/>
      <c r="AQ74" s="13"/>
      <c r="AR74" s="13"/>
      <c r="AS74" s="13"/>
      <c r="AT74" s="14"/>
      <c r="AU74" s="962"/>
      <c r="AW74" s="13"/>
      <c r="AY74" s="13"/>
      <c r="BA74" s="13"/>
      <c r="BC74" s="13"/>
      <c r="BE74" s="13"/>
      <c r="BG74" s="13"/>
      <c r="BI74" s="13"/>
      <c r="BK74" s="13"/>
      <c r="BM74" s="13"/>
      <c r="BO74" s="13"/>
      <c r="BP74" s="13"/>
      <c r="BQ74" s="13"/>
      <c r="BR74" s="13"/>
      <c r="BS74" s="13"/>
    </row>
    <row r="75" spans="1:71">
      <c r="A75" s="13"/>
      <c r="B75" s="13"/>
      <c r="C75" s="13"/>
      <c r="E75" s="13"/>
      <c r="F75" s="13"/>
      <c r="G75" s="13"/>
      <c r="H75" s="13"/>
      <c r="I75" s="13"/>
      <c r="J75" s="13"/>
      <c r="K75" s="13"/>
      <c r="L75" s="13"/>
      <c r="M75" s="13"/>
      <c r="N75" s="13"/>
      <c r="O75" s="13"/>
      <c r="P75" s="13"/>
      <c r="Q75" s="13"/>
      <c r="AB75" s="13"/>
      <c r="AC75" s="260"/>
      <c r="AD75" s="13"/>
      <c r="AE75" s="13"/>
      <c r="AF75" s="13"/>
      <c r="AG75" s="13"/>
      <c r="AH75" s="13"/>
      <c r="AI75" s="13"/>
      <c r="AJ75" s="13"/>
      <c r="AK75" s="13"/>
      <c r="AL75" s="13"/>
      <c r="AM75" s="13"/>
      <c r="AN75" s="13"/>
      <c r="AO75" s="13"/>
      <c r="AP75" s="13"/>
      <c r="AQ75" s="13"/>
      <c r="AR75" s="13"/>
      <c r="AS75" s="13"/>
      <c r="AT75" s="14"/>
      <c r="AU75" s="962"/>
      <c r="AW75" s="13"/>
      <c r="AY75" s="13"/>
      <c r="BA75" s="13"/>
      <c r="BC75" s="13"/>
      <c r="BE75" s="13"/>
      <c r="BG75" s="13"/>
      <c r="BI75" s="13"/>
      <c r="BK75" s="13"/>
      <c r="BM75" s="13"/>
      <c r="BO75" s="13"/>
      <c r="BP75" s="13"/>
      <c r="BQ75" s="13"/>
      <c r="BR75" s="13"/>
      <c r="BS75" s="13"/>
    </row>
    <row r="76" spans="1:71">
      <c r="A76" s="13"/>
      <c r="B76" s="13"/>
      <c r="C76" s="13"/>
      <c r="E76" s="13"/>
      <c r="F76" s="13"/>
      <c r="G76" s="13"/>
      <c r="H76" s="13"/>
      <c r="I76" s="13"/>
      <c r="J76" s="13"/>
      <c r="K76" s="13"/>
      <c r="L76" s="13"/>
      <c r="M76" s="13"/>
      <c r="N76" s="13"/>
      <c r="O76" s="13"/>
      <c r="P76" s="13"/>
      <c r="Q76" s="13"/>
      <c r="AB76" s="13"/>
      <c r="AC76" s="260"/>
      <c r="AD76" s="13"/>
      <c r="AE76" s="13"/>
      <c r="AF76" s="13"/>
      <c r="AG76" s="13"/>
      <c r="AH76" s="13"/>
      <c r="AI76" s="13"/>
      <c r="AJ76" s="13"/>
      <c r="AK76" s="13"/>
      <c r="AL76" s="13"/>
      <c r="AM76" s="13"/>
      <c r="AN76" s="13"/>
      <c r="AO76" s="13"/>
      <c r="AP76" s="13"/>
      <c r="AQ76" s="13"/>
      <c r="AR76" s="13"/>
      <c r="AS76" s="13"/>
      <c r="AT76" s="14"/>
      <c r="AU76" s="962"/>
      <c r="AW76" s="13"/>
      <c r="AY76" s="13"/>
      <c r="BA76" s="13"/>
      <c r="BC76" s="13"/>
      <c r="BE76" s="13"/>
      <c r="BG76" s="13"/>
      <c r="BI76" s="13"/>
      <c r="BK76" s="13"/>
      <c r="BM76" s="13"/>
      <c r="BO76" s="13"/>
      <c r="BP76" s="13"/>
      <c r="BQ76" s="13"/>
      <c r="BR76" s="13"/>
      <c r="BS76" s="13"/>
    </row>
  </sheetData>
  <sheetProtection password="E041" sheet="1" objects="1" scenarios="1" formatColumns="0"/>
  <mergeCells count="69">
    <mergeCell ref="BP27:BR27"/>
    <mergeCell ref="BP22:BR22"/>
    <mergeCell ref="BP23:BR23"/>
    <mergeCell ref="BP24:BR24"/>
    <mergeCell ref="BP25:BR25"/>
    <mergeCell ref="BP26:BR26"/>
    <mergeCell ref="O1:O2"/>
    <mergeCell ref="N1:N2"/>
    <mergeCell ref="K1:K2"/>
    <mergeCell ref="BL2:BM2"/>
    <mergeCell ref="BR1:BS1"/>
    <mergeCell ref="BR2:BS2"/>
    <mergeCell ref="BL1:BM1"/>
    <mergeCell ref="BN1:BO1"/>
    <mergeCell ref="BN2:BO2"/>
    <mergeCell ref="BP1:BQ1"/>
    <mergeCell ref="BP2:BQ2"/>
    <mergeCell ref="AN1:AN2"/>
    <mergeCell ref="AV1:AW1"/>
    <mergeCell ref="P1:P2"/>
    <mergeCell ref="AR1:AR2"/>
    <mergeCell ref="AK1:AK2"/>
    <mergeCell ref="BJ2:BK2"/>
    <mergeCell ref="BH2:BI2"/>
    <mergeCell ref="Q1:Q2"/>
    <mergeCell ref="A1:A2"/>
    <mergeCell ref="F1:F2"/>
    <mergeCell ref="G1:G2"/>
    <mergeCell ref="M1:M2"/>
    <mergeCell ref="L1:L2"/>
    <mergeCell ref="H1:H2"/>
    <mergeCell ref="I1:I2"/>
    <mergeCell ref="J1:J2"/>
    <mergeCell ref="AL1:AL2"/>
    <mergeCell ref="AI1:AI2"/>
    <mergeCell ref="AJ1:AJ2"/>
    <mergeCell ref="AH1:AH2"/>
    <mergeCell ref="AG1:AG2"/>
    <mergeCell ref="AX2:AY2"/>
    <mergeCell ref="AV22:AX22"/>
    <mergeCell ref="BB22:BD22"/>
    <mergeCell ref="BB2:BC2"/>
    <mergeCell ref="AZ2:BA2"/>
    <mergeCell ref="BD2:BE2"/>
    <mergeCell ref="AX1:AY1"/>
    <mergeCell ref="AV23:AX23"/>
    <mergeCell ref="AV24:AX24"/>
    <mergeCell ref="AV2:AW2"/>
    <mergeCell ref="BJ1:BK1"/>
    <mergeCell ref="BH22:BJ22"/>
    <mergeCell ref="BH23:BJ23"/>
    <mergeCell ref="BH24:BJ24"/>
    <mergeCell ref="BB23:BD23"/>
    <mergeCell ref="BH1:BI1"/>
    <mergeCell ref="BB1:BC1"/>
    <mergeCell ref="BF1:BG1"/>
    <mergeCell ref="BF2:BG2"/>
    <mergeCell ref="BB24:BD24"/>
    <mergeCell ref="AZ1:BA1"/>
    <mergeCell ref="BD1:BE1"/>
    <mergeCell ref="BH26:BJ26"/>
    <mergeCell ref="BH25:BJ25"/>
    <mergeCell ref="BH27:BJ27"/>
    <mergeCell ref="BB25:BD25"/>
    <mergeCell ref="AV27:AX27"/>
    <mergeCell ref="BB26:BD26"/>
    <mergeCell ref="BB27:BD27"/>
    <mergeCell ref="AV25:AX25"/>
    <mergeCell ref="AV26:AX26"/>
  </mergeCells>
  <phoneticPr fontId="0" type="noConversion"/>
  <conditionalFormatting sqref="AG3:AR42">
    <cfRule type="cellIs" dxfId="49" priority="2" stopIfTrue="1" operator="equal">
      <formula>25</formula>
    </cfRule>
  </conditionalFormatting>
  <conditionalFormatting sqref="F3:I42">
    <cfRule type="cellIs" dxfId="48" priority="3" stopIfTrue="1" operator="equal">
      <formula>25</formula>
    </cfRule>
  </conditionalFormatting>
  <conditionalFormatting sqref="J3:Q42">
    <cfRule type="cellIs" dxfId="47" priority="1" stopIfTrue="1" operator="equal">
      <formula>25</formula>
    </cfRule>
  </conditionalFormatting>
  <pageMargins left="0.74803149606299213" right="0.74803149606299213" top="0.98425196850393704" bottom="0.98425196850393704" header="0.51181102362204722" footer="0.51181102362204722"/>
  <pageSetup paperSize="9" scale="52" orientation="landscape" horizontalDpi="4294967293" verticalDpi="4294967293"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sheetPr>
  <dimension ref="A1:LM108"/>
  <sheetViews>
    <sheetView showGridLines="0" zoomScale="90" zoomScaleNormal="90" workbookViewId="0">
      <pane ySplit="10" topLeftCell="A11" activePane="bottomLeft" state="frozen"/>
      <selection activeCell="D5" sqref="D5:E5"/>
      <selection pane="bottomLeft" activeCell="N12" sqref="N12"/>
    </sheetView>
  </sheetViews>
  <sheetFormatPr defaultColWidth="8.85546875" defaultRowHeight="12.75" customHeight="1"/>
  <cols>
    <col min="1" max="1" width="5.42578125" style="8" customWidth="1"/>
    <col min="2" max="2" width="3.42578125" style="8" hidden="1" customWidth="1"/>
    <col min="3" max="3" width="3.28515625" style="8" customWidth="1"/>
    <col min="4" max="4" width="19" style="770" customWidth="1"/>
    <col min="5" max="5" width="3.140625" style="992" customWidth="1"/>
    <col min="6" max="6" width="3.140625" style="770" hidden="1" customWidth="1"/>
    <col min="7" max="7" width="2.7109375" style="770" customWidth="1"/>
    <col min="8" max="8" width="4.5703125" style="770" customWidth="1"/>
    <col min="9" max="12" width="4.5703125" style="8" customWidth="1"/>
    <col min="13" max="14" width="3.28515625" style="762" customWidth="1"/>
    <col min="15" max="15" width="0.85546875" style="8" customWidth="1"/>
    <col min="16" max="16" width="5.85546875" style="8" customWidth="1"/>
    <col min="17" max="17" width="3.42578125" style="8" hidden="1" customWidth="1"/>
    <col min="18" max="18" width="3.28515625" style="8" customWidth="1"/>
    <col min="19" max="19" width="19" style="770" customWidth="1"/>
    <col min="20" max="20" width="3.140625" style="992" customWidth="1"/>
    <col min="21" max="21" width="3.140625" style="770" hidden="1" customWidth="1"/>
    <col min="22" max="22" width="2.7109375" style="770" customWidth="1"/>
    <col min="23" max="23" width="4.5703125" style="770" customWidth="1"/>
    <col min="24" max="28" width="4.5703125" style="8" customWidth="1"/>
    <col min="29" max="29" width="3.28515625" style="8" customWidth="1"/>
    <col min="30" max="30" width="0.85546875" style="8" customWidth="1"/>
    <col min="31" max="31" width="5.85546875" style="8" customWidth="1"/>
    <col min="32" max="32" width="3" style="8" hidden="1" customWidth="1"/>
    <col min="33" max="33" width="3.28515625" style="8" customWidth="1"/>
    <col min="34" max="34" width="19" style="770" customWidth="1"/>
    <col min="35" max="35" width="3.140625" style="992" customWidth="1"/>
    <col min="36" max="36" width="3.140625" style="770" hidden="1" customWidth="1"/>
    <col min="37" max="37" width="2.7109375" style="770" customWidth="1"/>
    <col min="38" max="42" width="4.5703125" style="8" customWidth="1"/>
    <col min="43" max="44" width="3.28515625" style="8" customWidth="1"/>
    <col min="45" max="45" width="1.7109375" style="8" customWidth="1"/>
    <col min="46" max="46" width="3" style="8" customWidth="1"/>
    <col min="47" max="47" width="2.140625" style="8" customWidth="1"/>
    <col min="48" max="48" width="18.85546875" style="8" customWidth="1"/>
    <col min="49" max="53" width="3.7109375" style="8" customWidth="1"/>
    <col min="54" max="54" width="5.28515625" style="8" customWidth="1"/>
    <col min="55" max="55" width="1.7109375" style="8" customWidth="1"/>
    <col min="56" max="56" width="3.85546875" style="8" customWidth="1"/>
    <col min="57" max="57" width="18.5703125" style="8" customWidth="1"/>
    <col min="58" max="58" width="5.28515625" style="8" customWidth="1"/>
    <col min="59" max="59" width="1.7109375" style="8" customWidth="1"/>
    <col min="60" max="60" width="4.42578125" style="8" hidden="1" customWidth="1"/>
    <col min="61" max="61" width="9" style="8" hidden="1" customWidth="1"/>
    <col min="62" max="62" width="8.42578125" style="762" hidden="1" customWidth="1"/>
    <col min="63" max="63" width="3" style="8" hidden="1" customWidth="1"/>
    <col min="64" max="70" width="3.7109375" style="8" hidden="1" customWidth="1"/>
    <col min="71" max="71" width="9.5703125" style="8" hidden="1" customWidth="1"/>
    <col min="72" max="74" width="3.7109375" style="8" hidden="1" customWidth="1"/>
    <col min="75" max="75" width="6" style="8" hidden="1" customWidth="1"/>
    <col min="76" max="76" width="7" style="8" hidden="1" customWidth="1"/>
    <col min="77" max="77" width="3.7109375" style="762" hidden="1" customWidth="1"/>
    <col min="78" max="78" width="9.140625" style="762" hidden="1" customWidth="1"/>
    <col min="79" max="79" width="3" style="8" hidden="1" customWidth="1"/>
    <col min="80" max="80" width="9.140625" style="8" hidden="1" customWidth="1"/>
    <col min="81" max="81" width="3" style="13" hidden="1" customWidth="1"/>
    <col min="82" max="82" width="2" style="13" hidden="1" customWidth="1"/>
    <col min="83" max="83" width="4.42578125" style="13" hidden="1" customWidth="1"/>
    <col min="84" max="85" width="3" style="13" hidden="1" customWidth="1"/>
    <col min="86" max="86" width="19.140625" style="13" hidden="1" customWidth="1"/>
    <col min="87" max="87" width="9.7109375" style="13" hidden="1" customWidth="1"/>
    <col min="88" max="92" width="3.28515625" style="13" hidden="1" customWidth="1"/>
    <col min="93" max="93" width="3.7109375" style="13" hidden="1" customWidth="1"/>
    <col min="94" max="94" width="2.42578125" style="762" hidden="1" customWidth="1"/>
    <col min="95" max="96" width="3" style="13" hidden="1" customWidth="1"/>
    <col min="97" max="97" width="3" style="260" hidden="1" customWidth="1"/>
    <col min="98" max="100" width="4" style="13" hidden="1" customWidth="1"/>
    <col min="101" max="101" width="19.140625" style="13" hidden="1" customWidth="1"/>
    <col min="102" max="102" width="2" style="13" hidden="1" customWidth="1"/>
    <col min="103" max="104" width="2.42578125" style="13" hidden="1" customWidth="1"/>
    <col min="105" max="105" width="2" style="13" hidden="1" customWidth="1"/>
    <col min="106" max="106" width="2.42578125" style="13" hidden="1" customWidth="1"/>
    <col min="107" max="107" width="5.28515625" style="13" hidden="1" customWidth="1"/>
    <col min="108" max="108" width="3" style="13" hidden="1" customWidth="1"/>
    <col min="109" max="109" width="3.5703125" style="13" hidden="1" customWidth="1"/>
    <col min="110" max="110" width="3" style="13" hidden="1" customWidth="1"/>
    <col min="111" max="111" width="4.5703125" style="13" hidden="1" customWidth="1"/>
    <col min="112" max="112" width="3" style="13" hidden="1" customWidth="1"/>
    <col min="113" max="113" width="5.5703125" style="13" hidden="1" customWidth="1"/>
    <col min="114" max="114" width="2" style="762" hidden="1" customWidth="1"/>
    <col min="115" max="115" width="7.5703125" style="762" hidden="1" customWidth="1"/>
    <col min="116" max="116" width="9.7109375" style="13" hidden="1" customWidth="1"/>
    <col min="117" max="119" width="10.7109375" style="13" hidden="1" customWidth="1"/>
    <col min="120" max="120" width="11.7109375" style="13" hidden="1" customWidth="1"/>
    <col min="121" max="121" width="10.5703125" style="13" hidden="1" customWidth="1"/>
    <col min="122" max="155" width="3" style="13" hidden="1" customWidth="1"/>
    <col min="156" max="156" width="8.42578125" style="13" hidden="1" customWidth="1"/>
    <col min="157" max="157" width="3" style="13" hidden="1" customWidth="1"/>
    <col min="158" max="158" width="18.5703125" style="13" hidden="1" customWidth="1"/>
    <col min="159" max="159" width="5.28515625" style="762" hidden="1" customWidth="1"/>
    <col min="160" max="160" width="8" style="762" hidden="1" customWidth="1"/>
    <col min="161" max="161" width="6.7109375" style="762" hidden="1" customWidth="1"/>
    <col min="162" max="162" width="5" style="762" hidden="1" customWidth="1"/>
    <col min="163" max="164" width="12.140625" style="182" hidden="1" customWidth="1"/>
    <col min="165" max="165" width="10.7109375" style="13" hidden="1" customWidth="1"/>
    <col min="166" max="166" width="12.140625" style="13" hidden="1" customWidth="1"/>
    <col min="167" max="167" width="7.5703125" style="762" hidden="1" customWidth="1"/>
    <col min="168" max="168" width="9.5703125" style="762" hidden="1" customWidth="1"/>
    <col min="169" max="169" width="10.7109375" style="762" hidden="1" customWidth="1"/>
    <col min="170" max="170" width="9.5703125" style="13" hidden="1" customWidth="1"/>
    <col min="171" max="171" width="18.5703125" style="13" hidden="1" customWidth="1"/>
    <col min="172" max="172" width="5.85546875" style="13" hidden="1" customWidth="1"/>
    <col min="173" max="173" width="2.7109375" style="13" hidden="1" customWidth="1"/>
    <col min="174" max="174" width="2.7109375" style="290" hidden="1" customWidth="1"/>
    <col min="175" max="175" width="2.7109375" style="762" hidden="1" customWidth="1"/>
    <col min="176" max="190" width="3" style="762" hidden="1" customWidth="1"/>
    <col min="191" max="191" width="3" style="290" hidden="1" customWidth="1"/>
    <col min="192" max="192" width="9.140625" style="8" hidden="1" customWidth="1"/>
    <col min="193" max="193" width="3" style="8" hidden="1" customWidth="1"/>
    <col min="194" max="199" width="2.28515625" style="8" hidden="1" customWidth="1"/>
    <col min="200" max="200" width="8.5703125" style="8" hidden="1" customWidth="1"/>
    <col min="201" max="202" width="2.28515625" style="8" hidden="1" customWidth="1"/>
    <col min="203" max="204" width="2.28515625" style="762" hidden="1" customWidth="1"/>
    <col min="205" max="205" width="3" style="762" hidden="1" customWidth="1"/>
    <col min="206" max="206" width="4.140625" style="762" hidden="1" customWidth="1"/>
    <col min="207" max="208" width="3" style="762" hidden="1" customWidth="1"/>
    <col min="209" max="212" width="2.28515625" style="762" hidden="1" customWidth="1"/>
    <col min="213" max="215" width="3" style="762" hidden="1" customWidth="1"/>
    <col min="216" max="216" width="4.140625" style="762" hidden="1" customWidth="1"/>
    <col min="217" max="218" width="3" style="8" hidden="1" customWidth="1"/>
    <col min="219" max="220" width="2" style="8" hidden="1" customWidth="1"/>
    <col min="221" max="221" width="3.7109375" style="8" hidden="1" customWidth="1"/>
    <col min="222" max="222" width="4.5703125" style="8" hidden="1" customWidth="1"/>
    <col min="223" max="223" width="18.5703125" style="8" hidden="1" customWidth="1"/>
    <col min="224" max="224" width="3" style="762" hidden="1" customWidth="1"/>
    <col min="225" max="226" width="3" style="8" hidden="1" customWidth="1"/>
    <col min="227" max="227" width="4.5703125" style="8" hidden="1" customWidth="1"/>
    <col min="228" max="228" width="8.42578125" style="8" hidden="1" customWidth="1"/>
    <col min="229" max="229" width="21.7109375" style="8" hidden="1" customWidth="1"/>
    <col min="230" max="230" width="2" style="8" hidden="1" customWidth="1"/>
    <col min="231" max="231" width="21.7109375" style="8" hidden="1" customWidth="1"/>
    <col min="232" max="232" width="4.5703125" style="8" hidden="1" customWidth="1"/>
    <col min="233" max="233" width="18.5703125" style="8" hidden="1" customWidth="1"/>
    <col min="234" max="234" width="2.85546875" style="8" hidden="1" customWidth="1"/>
    <col min="235" max="236" width="2.7109375" style="8" hidden="1" customWidth="1"/>
    <col min="237" max="237" width="5.28515625" style="8" hidden="1" customWidth="1"/>
    <col min="238" max="238" width="2.7109375" style="8" hidden="1" customWidth="1"/>
    <col min="239" max="239" width="21.7109375" style="8" hidden="1" customWidth="1"/>
    <col min="240" max="240" width="2.7109375" style="8" hidden="1" customWidth="1"/>
    <col min="241" max="241" width="21.7109375" style="8" hidden="1" customWidth="1"/>
    <col min="242" max="242" width="9.140625" style="8" hidden="1" customWidth="1"/>
    <col min="243" max="243" width="18.5703125" style="8" hidden="1" customWidth="1"/>
    <col min="244" max="245" width="2.7109375" style="8" hidden="1" customWidth="1"/>
    <col min="246" max="246" width="5" style="8" hidden="1" customWidth="1"/>
    <col min="247" max="247" width="5.28515625" style="8" hidden="1" customWidth="1"/>
    <col min="248" max="248" width="2.7109375" style="8" hidden="1" customWidth="1"/>
    <col min="249" max="249" width="18.5703125" style="8" hidden="1" customWidth="1"/>
    <col min="250" max="250" width="2.7109375" style="8" hidden="1" customWidth="1"/>
    <col min="251" max="251" width="21.7109375" style="8" hidden="1" customWidth="1"/>
    <col min="252" max="253" width="8.85546875" style="8" hidden="1" customWidth="1"/>
    <col min="254" max="254" width="1.7109375" style="8" hidden="1" customWidth="1"/>
    <col min="255" max="255" width="4.7109375" style="8" customWidth="1"/>
    <col min="256" max="256" width="3.7109375" style="8" customWidth="1"/>
    <col min="257" max="257" width="17.7109375" style="8" customWidth="1"/>
    <col min="258" max="258" width="3.7109375" style="8" customWidth="1"/>
    <col min="259" max="259" width="1.7109375" style="8" customWidth="1"/>
    <col min="260" max="260" width="4.7109375" style="8" customWidth="1"/>
    <col min="261" max="261" width="3.7109375" style="8" customWidth="1"/>
    <col min="262" max="262" width="17.7109375" style="8" customWidth="1"/>
    <col min="263" max="263" width="3.7109375" style="8" customWidth="1"/>
    <col min="264" max="264" width="1.7109375" style="8" customWidth="1"/>
    <col min="265" max="265" width="4.7109375" style="8" customWidth="1"/>
    <col min="266" max="266" width="3.7109375" style="8" customWidth="1"/>
    <col min="267" max="267" width="17.7109375" style="8" customWidth="1"/>
    <col min="268" max="269" width="3.7109375" style="8" customWidth="1"/>
    <col min="270" max="270" width="3.7109375" style="8" hidden="1" customWidth="1"/>
    <col min="271" max="271" width="3" style="762" hidden="1" customWidth="1"/>
    <col min="272" max="272" width="2.7109375" style="762" hidden="1" customWidth="1"/>
    <col min="273" max="320" width="2.7109375" style="8" hidden="1" customWidth="1"/>
    <col min="321" max="325" width="2.7109375" style="8" customWidth="1"/>
    <col min="326" max="16384" width="8.85546875" style="8"/>
  </cols>
  <sheetData>
    <row r="1" spans="1:325" ht="12.75" customHeight="1" thickBot="1">
      <c r="I1" s="290"/>
      <c r="J1" s="290"/>
      <c r="K1" s="290"/>
      <c r="L1" s="290"/>
      <c r="M1" s="290"/>
      <c r="N1" s="290"/>
      <c r="Q1" s="181"/>
      <c r="R1" s="108" t="s">
        <v>21</v>
      </c>
      <c r="S1" s="9" t="s">
        <v>2</v>
      </c>
      <c r="T1" s="991"/>
      <c r="U1" s="768"/>
      <c r="V1" s="533"/>
      <c r="W1" s="10">
        <v>1</v>
      </c>
      <c r="X1" s="11">
        <v>2</v>
      </c>
      <c r="Y1" s="11">
        <v>3</v>
      </c>
      <c r="Z1" s="11">
        <v>4</v>
      </c>
      <c r="AA1" s="11">
        <v>5</v>
      </c>
      <c r="AB1" s="12" t="s">
        <v>0</v>
      </c>
      <c r="AC1" s="55" t="s">
        <v>314</v>
      </c>
      <c r="AF1" s="181"/>
      <c r="AG1" s="108" t="s">
        <v>21</v>
      </c>
      <c r="AH1" s="9" t="s">
        <v>2</v>
      </c>
      <c r="AI1" s="991"/>
      <c r="AJ1" s="768"/>
      <c r="AK1" s="533"/>
      <c r="AL1" s="10">
        <v>1</v>
      </c>
      <c r="AM1" s="11">
        <v>2</v>
      </c>
      <c r="AN1" s="11">
        <v>3</v>
      </c>
      <c r="AO1" s="11">
        <v>4</v>
      </c>
      <c r="AP1" s="11">
        <v>5</v>
      </c>
      <c r="AQ1" s="12" t="s">
        <v>0</v>
      </c>
      <c r="AR1" s="55" t="s">
        <v>314</v>
      </c>
      <c r="AT1" s="1102" t="s">
        <v>223</v>
      </c>
      <c r="AU1" s="1103"/>
      <c r="AV1" s="718" t="s">
        <v>224</v>
      </c>
      <c r="AW1" s="1098" t="s">
        <v>75</v>
      </c>
      <c r="AX1" s="1099"/>
      <c r="AY1" s="1098" t="s">
        <v>14</v>
      </c>
      <c r="AZ1" s="1099"/>
      <c r="BA1" s="1098" t="s">
        <v>15</v>
      </c>
      <c r="BB1" s="1099"/>
      <c r="BC1" s="1098" t="s">
        <v>17</v>
      </c>
      <c r="BD1" s="1099"/>
      <c r="BG1" s="197"/>
      <c r="BH1" s="183"/>
      <c r="BI1" s="183"/>
      <c r="BJ1" s="765"/>
      <c r="BK1" s="183"/>
      <c r="BL1" s="183"/>
      <c r="BM1" s="183"/>
      <c r="BN1" s="183"/>
      <c r="BO1" s="183"/>
      <c r="BP1" s="183"/>
      <c r="BQ1" s="183"/>
      <c r="BR1" s="183"/>
      <c r="BS1" s="183"/>
      <c r="BT1" s="183"/>
      <c r="BU1" s="183"/>
      <c r="BV1" s="183"/>
      <c r="BW1" s="183"/>
      <c r="BX1" s="183"/>
      <c r="BY1" s="765"/>
      <c r="BZ1" s="765"/>
      <c r="CA1" s="183"/>
      <c r="CB1" s="183"/>
      <c r="CC1" s="1140" t="s">
        <v>16</v>
      </c>
      <c r="CD1" s="1141"/>
      <c r="CE1" s="1141"/>
      <c r="CF1" s="1141"/>
      <c r="CG1" s="1141"/>
      <c r="CH1" s="1141"/>
      <c r="CI1" s="1141"/>
      <c r="CJ1" s="1141"/>
      <c r="CK1" s="1141"/>
      <c r="CL1" s="1141"/>
      <c r="CM1" s="1141"/>
      <c r="CN1" s="1141"/>
      <c r="CO1" s="1142"/>
      <c r="CP1" s="199"/>
      <c r="CQ1" s="244"/>
      <c r="CR1" s="1163" t="s">
        <v>6</v>
      </c>
      <c r="CS1" s="1157" t="s">
        <v>5</v>
      </c>
      <c r="CT1" s="1165" t="s">
        <v>7</v>
      </c>
      <c r="CU1" s="1166"/>
      <c r="CV1" s="1166"/>
      <c r="CW1" s="1166"/>
      <c r="CX1" s="1166"/>
      <c r="CY1" s="1166"/>
      <c r="CZ1" s="1166"/>
      <c r="DA1" s="1166"/>
      <c r="DB1" s="1166"/>
      <c r="DC1" s="1167"/>
      <c r="DD1" s="1171" t="s">
        <v>18</v>
      </c>
      <c r="DE1" s="1172"/>
      <c r="DF1" s="1172"/>
      <c r="DG1" s="1172"/>
      <c r="DH1" s="1172"/>
      <c r="DI1" s="1172"/>
      <c r="DJ1" s="1172"/>
      <c r="DK1" s="1173"/>
      <c r="DL1" s="1159" t="s">
        <v>38</v>
      </c>
      <c r="DM1" s="1117" t="s">
        <v>98</v>
      </c>
      <c r="DN1" s="1117" t="s">
        <v>40</v>
      </c>
      <c r="DO1" s="1117" t="s">
        <v>41</v>
      </c>
      <c r="DP1" s="1117" t="s">
        <v>70</v>
      </c>
      <c r="DQ1" s="591"/>
      <c r="DR1" s="1174" t="s">
        <v>36</v>
      </c>
      <c r="DS1" s="1174"/>
      <c r="DT1" s="1174"/>
      <c r="DU1" s="1174"/>
      <c r="DV1" s="1174"/>
      <c r="DW1" s="1174"/>
      <c r="DX1" s="1174"/>
      <c r="DY1" s="1174"/>
      <c r="DZ1" s="1174"/>
      <c r="EA1" s="1174"/>
      <c r="EB1" s="1174"/>
      <c r="EC1" s="1174"/>
      <c r="ED1" s="1174"/>
      <c r="EE1" s="1174"/>
      <c r="EF1" s="1174"/>
      <c r="EG1" s="1174"/>
      <c r="EH1" s="227"/>
      <c r="EI1" s="1176" t="s">
        <v>37</v>
      </c>
      <c r="EJ1" s="1177"/>
      <c r="EK1" s="1177"/>
      <c r="EL1" s="1177"/>
      <c r="EM1" s="1177"/>
      <c r="EN1" s="1177"/>
      <c r="EO1" s="1177"/>
      <c r="EP1" s="1177"/>
      <c r="EQ1" s="1177"/>
      <c r="ER1" s="1177"/>
      <c r="ES1" s="1177"/>
      <c r="ET1" s="1177"/>
      <c r="EU1" s="1177"/>
      <c r="EV1" s="1177"/>
      <c r="EW1" s="1177"/>
      <c r="EX1" s="1178"/>
      <c r="EY1" s="1168" t="s">
        <v>39</v>
      </c>
      <c r="FA1" s="109"/>
      <c r="FB1" s="109"/>
      <c r="FC1" s="1104" t="s">
        <v>145</v>
      </c>
      <c r="FD1" s="1104" t="s">
        <v>22</v>
      </c>
      <c r="FE1" s="1106" t="s">
        <v>149</v>
      </c>
      <c r="FF1" s="1104" t="s">
        <v>148</v>
      </c>
      <c r="FG1" s="1161" t="s">
        <v>150</v>
      </c>
      <c r="FH1" s="1115" t="s">
        <v>151</v>
      </c>
      <c r="FI1" s="1161" t="s">
        <v>147</v>
      </c>
      <c r="FJ1" s="1161" t="s">
        <v>152</v>
      </c>
      <c r="FK1" s="1175" t="s">
        <v>146</v>
      </c>
      <c r="FL1" s="765"/>
      <c r="FM1" s="765"/>
      <c r="FN1" s="109"/>
      <c r="FO1" s="109"/>
      <c r="FP1" s="677"/>
      <c r="FQ1" s="109"/>
      <c r="FR1" s="325"/>
      <c r="FS1" s="765"/>
      <c r="FT1" s="1174" t="s">
        <v>72</v>
      </c>
      <c r="FU1" s="1174"/>
      <c r="FV1" s="1174"/>
      <c r="FW1" s="1174"/>
      <c r="FX1" s="1174"/>
      <c r="FY1" s="1174"/>
      <c r="FZ1" s="1174"/>
      <c r="GA1" s="1174"/>
      <c r="GB1" s="1174"/>
      <c r="GC1" s="1174"/>
      <c r="GD1" s="1174"/>
      <c r="GE1" s="1174"/>
      <c r="GF1" s="1174"/>
      <c r="GG1" s="1174"/>
      <c r="GH1" s="1174"/>
      <c r="GI1" s="1174"/>
      <c r="GJ1" s="183"/>
      <c r="GK1" s="1170" t="s">
        <v>71</v>
      </c>
      <c r="GL1" s="1170"/>
      <c r="GM1" s="1170"/>
      <c r="GN1" s="1170"/>
      <c r="GO1" s="1170"/>
      <c r="GP1" s="1170"/>
      <c r="GQ1" s="1170"/>
      <c r="GV1" s="1170" t="s">
        <v>73</v>
      </c>
      <c r="GW1" s="1170"/>
      <c r="GX1" s="1170"/>
      <c r="GY1" s="1170"/>
      <c r="GZ1" s="1170"/>
      <c r="HA1" s="1170"/>
      <c r="HB1" s="1170"/>
      <c r="HC1" s="1170"/>
      <c r="HD1" s="1170"/>
      <c r="HE1" s="1170"/>
      <c r="HF1" s="1170"/>
      <c r="HG1" s="1170"/>
      <c r="HH1" s="1170"/>
      <c r="HI1" s="1170"/>
      <c r="HJ1" s="1170"/>
      <c r="HK1" s="1170"/>
      <c r="HL1" s="1170"/>
      <c r="HM1" s="183"/>
      <c r="HN1" s="183"/>
      <c r="HO1" s="183"/>
      <c r="HP1" s="765"/>
      <c r="HQ1" s="183"/>
      <c r="HR1" s="183"/>
      <c r="HS1" s="183"/>
      <c r="HT1" s="183"/>
      <c r="HU1" s="183"/>
      <c r="HV1" s="183"/>
      <c r="HW1" s="183"/>
      <c r="HX1" s="183"/>
      <c r="HY1" s="183"/>
      <c r="HZ1" s="183"/>
      <c r="IA1" s="183"/>
      <c r="IB1" s="183"/>
      <c r="IC1" s="183"/>
      <c r="ID1" s="183"/>
      <c r="IE1" s="183"/>
      <c r="IF1" s="183"/>
      <c r="IG1" s="183"/>
      <c r="IH1" s="183"/>
      <c r="II1" s="183"/>
      <c r="IJ1" s="183"/>
      <c r="IK1" s="183"/>
      <c r="IL1" s="183"/>
      <c r="IM1" s="183"/>
      <c r="IN1" s="183"/>
      <c r="IO1" s="183"/>
      <c r="IP1" s="183"/>
      <c r="IQ1" s="183"/>
      <c r="JJ1" s="889"/>
      <c r="JK1" s="890"/>
      <c r="JL1" s="890"/>
      <c r="JM1" s="889"/>
      <c r="JN1" s="889"/>
      <c r="JO1" s="889"/>
      <c r="JP1" s="889"/>
      <c r="JQ1" s="889"/>
      <c r="JR1" s="889"/>
      <c r="JS1" s="889"/>
      <c r="JT1" s="889"/>
      <c r="JU1" s="889"/>
      <c r="JV1" s="889"/>
      <c r="JW1" s="889"/>
      <c r="JX1" s="889"/>
      <c r="JY1" s="889"/>
      <c r="JZ1" s="889"/>
      <c r="KA1" s="889"/>
      <c r="KB1" s="889"/>
      <c r="KC1" s="889"/>
      <c r="KD1" s="889"/>
      <c r="KE1" s="889"/>
      <c r="KF1" s="889"/>
      <c r="KG1" s="889"/>
      <c r="KH1" s="889"/>
      <c r="KI1" s="889"/>
      <c r="KJ1" s="889"/>
      <c r="KK1" s="889"/>
      <c r="KL1" s="889"/>
      <c r="KM1" s="889"/>
      <c r="KN1" s="889"/>
      <c r="KO1" s="889"/>
      <c r="KP1" s="889"/>
      <c r="KQ1" s="889"/>
      <c r="KR1" s="889"/>
      <c r="KS1" s="889"/>
      <c r="KT1" s="889"/>
      <c r="KU1" s="889"/>
      <c r="KV1" s="889"/>
      <c r="KW1" s="889"/>
      <c r="KX1" s="889"/>
      <c r="KY1" s="889"/>
      <c r="KZ1" s="889"/>
      <c r="LA1" s="889"/>
      <c r="LB1" s="889"/>
      <c r="LC1" s="889"/>
      <c r="LD1" s="889"/>
      <c r="LE1" s="889"/>
      <c r="LF1" s="889"/>
      <c r="LG1" s="889"/>
      <c r="LH1" s="889"/>
    </row>
    <row r="2" spans="1:325" ht="12.75" customHeight="1" thickBot="1">
      <c r="I2" s="290"/>
      <c r="J2" s="290"/>
      <c r="K2" s="290"/>
      <c r="L2" s="290"/>
      <c r="M2" s="290"/>
      <c r="N2" s="290"/>
      <c r="P2" s="898" t="s">
        <v>12</v>
      </c>
      <c r="Q2" s="340">
        <v>1</v>
      </c>
      <c r="R2" s="104">
        <f>VLOOKUP(S2,Draw!$B$3:$C$42,2,FALSE)</f>
        <v>9</v>
      </c>
      <c r="S2" s="747" t="str">
        <f>Draw!H24</f>
        <v>Per-Anders Lindstrom</v>
      </c>
      <c r="T2" s="998"/>
      <c r="U2" s="759"/>
      <c r="V2" s="760"/>
      <c r="W2" s="1" t="str">
        <f>IF($JL$10&lt;W$1,"",VLOOKUP(W$1,$JL$12:$JN$91,3,FALSE))</f>
        <v/>
      </c>
      <c r="X2" s="2" t="str">
        <f>IF($JL10&lt;X$1,"",VLOOKUP(X$1,$JL$12:$JN$91,3,FALSE))</f>
        <v/>
      </c>
      <c r="Y2" s="312" t="str">
        <f>IF($JL10&lt;Y$1,"",VLOOKUP(Y$1,$JL$12:$JN$91,3,FALSE))</f>
        <v/>
      </c>
      <c r="Z2" s="2" t="str">
        <f>IF($JL10&lt;Z$1,"",VLOOKUP(Z$1,$JL$12:$JN$91,3,FALSE))</f>
        <v/>
      </c>
      <c r="AA2" s="2" t="str">
        <f>IF($JL10&lt;AA$1,"",VLOOKUP(AA$1,$JL$12:$JN$91,3,FALSE))</f>
        <v/>
      </c>
      <c r="AB2" s="6" t="str">
        <f>IF(W2="","",SUM(W2:AA2))</f>
        <v/>
      </c>
      <c r="AC2" s="56" t="str">
        <f t="shared" ref="AC2:AC10" si="0">IF($AQ$27="","",SUMIF($CH$3:$CH$20,S2,$CC$3:$CC$20))</f>
        <v/>
      </c>
      <c r="AF2" s="340">
        <v>9</v>
      </c>
      <c r="AG2" s="104">
        <f>VLOOKUP(AH2,Draw!$B$3:$C$42,2,FALSE)</f>
        <v>1</v>
      </c>
      <c r="AH2" s="747" t="str">
        <f>Draw!H32</f>
        <v>Daniil Ivanov</v>
      </c>
      <c r="AI2" s="998"/>
      <c r="AJ2" s="759"/>
      <c r="AK2" s="760"/>
      <c r="AL2" s="1" t="str">
        <f>IF($KJ$10&lt;AL$1,"",VLOOKUP(AL$1,$KJ$12:$KL$91,3,FALSE))</f>
        <v/>
      </c>
      <c r="AM2" s="2" t="str">
        <f>IF($KJ$10&lt;AM$1,"",VLOOKUP(AM$1,$KJ$12:$KL$91,3,FALSE))</f>
        <v/>
      </c>
      <c r="AN2" s="2" t="str">
        <f>IF($KJ$10&lt;AN$1,"",VLOOKUP(AN$1,$KJ$12:$KL$91,3,FALSE))</f>
        <v/>
      </c>
      <c r="AO2" s="2" t="str">
        <f>IF($KJ$10&lt;AO$1,"",VLOOKUP(AO$1,$KJ$12:$KL$91,3,FALSE))</f>
        <v/>
      </c>
      <c r="AP2" s="2" t="str">
        <f>IF($KJ$10&lt;AP$1,"",VLOOKUP(AP$1,$KJ$12:$KL$91,3,FALSE))</f>
        <v/>
      </c>
      <c r="AQ2" s="6" t="str">
        <f t="shared" ref="AQ2:AQ10" si="1">IF(AL2="","",SUM(AL2:AP2))</f>
        <v/>
      </c>
      <c r="AR2" s="56" t="str">
        <f>IF($AQ$27="","",SUMIF($CH$3:$CH$20,AH2,$CC$3:$CC$20))</f>
        <v/>
      </c>
      <c r="AT2" s="1100" t="s">
        <v>12</v>
      </c>
      <c r="AU2" s="1101"/>
      <c r="AV2" s="719">
        <f>IF(BV7=0,0,SUM(BV7/BZ7))</f>
        <v>0</v>
      </c>
      <c r="AW2" s="1096">
        <f>BV9</f>
        <v>0</v>
      </c>
      <c r="AX2" s="1097"/>
      <c r="AY2" s="1096">
        <f>COUNTIF($BL$12:$BL$43,3)+COUNTIF($BQ$12:$BQ$43,3)+COUNTIF($BV$12:$BV$43,3)</f>
        <v>0</v>
      </c>
      <c r="AZ2" s="1097"/>
      <c r="BA2" s="1096">
        <f>COUNTIF($BL$12:$BL$43,2)+COUNTIF($BQ$12:$BQ$43,2)+COUNTIF($BV$12:$BV$43,2)</f>
        <v>0</v>
      </c>
      <c r="BB2" s="1097"/>
      <c r="BC2" s="1096">
        <f>COUNTIF($BL$12:$BL$43,1)+COUNTIF($BQ$12:$BQ$43,1)+COUNTIF($BV$12:$BV$43,1)</f>
        <v>0</v>
      </c>
      <c r="BD2" s="1097"/>
      <c r="BE2"/>
      <c r="CC2" s="1124" t="s">
        <v>3</v>
      </c>
      <c r="CD2" s="1125"/>
      <c r="CE2" s="178" t="s">
        <v>3</v>
      </c>
      <c r="CF2" s="179"/>
      <c r="CG2" s="1122" t="s">
        <v>2</v>
      </c>
      <c r="CH2" s="1123"/>
      <c r="CI2" s="150"/>
      <c r="CJ2" s="63"/>
      <c r="CK2" s="67"/>
      <c r="CL2" s="67"/>
      <c r="CM2" s="67"/>
      <c r="CN2" s="72"/>
      <c r="CO2" s="42" t="s">
        <v>0</v>
      </c>
      <c r="CP2" s="200" t="s">
        <v>12</v>
      </c>
      <c r="CQ2" s="245"/>
      <c r="CR2" s="1164"/>
      <c r="CS2" s="1158"/>
      <c r="CT2" s="201" t="s">
        <v>4</v>
      </c>
      <c r="CU2" s="202"/>
      <c r="CV2" s="202" t="s">
        <v>21</v>
      </c>
      <c r="CW2" s="203" t="s">
        <v>2</v>
      </c>
      <c r="CX2" s="204"/>
      <c r="CY2" s="204"/>
      <c r="CZ2" s="204"/>
      <c r="DA2" s="204"/>
      <c r="DB2" s="204"/>
      <c r="DC2" s="246" t="s">
        <v>0</v>
      </c>
      <c r="DD2" s="1137" t="s">
        <v>14</v>
      </c>
      <c r="DE2" s="1127"/>
      <c r="DF2" s="1126" t="s">
        <v>15</v>
      </c>
      <c r="DG2" s="1127"/>
      <c r="DH2" s="1126" t="s">
        <v>17</v>
      </c>
      <c r="DI2" s="1137"/>
      <c r="DJ2" s="1138" t="s">
        <v>192</v>
      </c>
      <c r="DK2" s="1139"/>
      <c r="DL2" s="1160"/>
      <c r="DM2" s="1118"/>
      <c r="DN2" s="1118"/>
      <c r="DO2" s="1118"/>
      <c r="DP2" s="1118"/>
      <c r="DQ2" s="592"/>
      <c r="DR2" s="242">
        <f>$R$2</f>
        <v>9</v>
      </c>
      <c r="DS2" s="222">
        <f>$R$3</f>
        <v>3</v>
      </c>
      <c r="DT2" s="222">
        <f>$R$4</f>
        <v>10</v>
      </c>
      <c r="DU2" s="222">
        <f>$R$5</f>
        <v>6</v>
      </c>
      <c r="DV2" s="222">
        <f>$R$6</f>
        <v>14</v>
      </c>
      <c r="DW2" s="222">
        <f>$R$7</f>
        <v>16</v>
      </c>
      <c r="DX2" s="222">
        <f>$R$8</f>
        <v>4</v>
      </c>
      <c r="DY2" s="222">
        <f>$R$9</f>
        <v>7</v>
      </c>
      <c r="DZ2" s="222">
        <f>$AG$2</f>
        <v>1</v>
      </c>
      <c r="EA2" s="222">
        <f>$AG$3</f>
        <v>12</v>
      </c>
      <c r="EB2" s="222">
        <f>$AG$4</f>
        <v>15</v>
      </c>
      <c r="EC2" s="222">
        <f>$AG$5</f>
        <v>11</v>
      </c>
      <c r="ED2" s="222">
        <f>$AG$6</f>
        <v>19</v>
      </c>
      <c r="EE2" s="222">
        <f>$AG$7</f>
        <v>8</v>
      </c>
      <c r="EF2" s="222">
        <f>$AG$8</f>
        <v>2</v>
      </c>
      <c r="EG2" s="223">
        <f>$AG$9</f>
        <v>5</v>
      </c>
      <c r="EH2" s="228"/>
      <c r="EI2" s="221">
        <f>$R$2</f>
        <v>9</v>
      </c>
      <c r="EJ2" s="222">
        <f>$R$3</f>
        <v>3</v>
      </c>
      <c r="EK2" s="222">
        <f>$R$4</f>
        <v>10</v>
      </c>
      <c r="EL2" s="222">
        <f>$R$5</f>
        <v>6</v>
      </c>
      <c r="EM2" s="222">
        <f>$R$6</f>
        <v>14</v>
      </c>
      <c r="EN2" s="222">
        <f>$R$7</f>
        <v>16</v>
      </c>
      <c r="EO2" s="222">
        <f>$R$8</f>
        <v>4</v>
      </c>
      <c r="EP2" s="222">
        <f>$R$9</f>
        <v>7</v>
      </c>
      <c r="EQ2" s="222">
        <f>$AG$2</f>
        <v>1</v>
      </c>
      <c r="ER2" s="222">
        <f>$AG$3</f>
        <v>12</v>
      </c>
      <c r="ES2" s="222">
        <f>$AG$4</f>
        <v>15</v>
      </c>
      <c r="ET2" s="222">
        <f>$AG$5</f>
        <v>11</v>
      </c>
      <c r="EU2" s="222">
        <f>$AG$6</f>
        <v>19</v>
      </c>
      <c r="EV2" s="222">
        <f>$AG$7</f>
        <v>8</v>
      </c>
      <c r="EW2" s="222">
        <f>$AG$8</f>
        <v>2</v>
      </c>
      <c r="EX2" s="223">
        <f>$AG$9</f>
        <v>5</v>
      </c>
      <c r="EY2" s="1169"/>
      <c r="FA2" s="220" t="s">
        <v>21</v>
      </c>
      <c r="FB2" s="109"/>
      <c r="FC2" s="1105"/>
      <c r="FD2" s="1105"/>
      <c r="FE2" s="1107"/>
      <c r="FF2" s="1105"/>
      <c r="FG2" s="1162"/>
      <c r="FH2" s="1116"/>
      <c r="FI2" s="1162"/>
      <c r="FJ2" s="1162"/>
      <c r="FK2" s="1175"/>
      <c r="FL2" s="765"/>
      <c r="FM2" s="765" t="s">
        <v>189</v>
      </c>
      <c r="FN2" s="109"/>
      <c r="FO2" s="109"/>
      <c r="FP2" s="677"/>
      <c r="FQ2" s="109"/>
      <c r="FS2" s="217" t="s">
        <v>21</v>
      </c>
      <c r="FT2" s="221">
        <f>$R$2</f>
        <v>9</v>
      </c>
      <c r="FU2" s="222">
        <f>$R$3</f>
        <v>3</v>
      </c>
      <c r="FV2" s="222">
        <f>$R$4</f>
        <v>10</v>
      </c>
      <c r="FW2" s="222">
        <f>$R$5</f>
        <v>6</v>
      </c>
      <c r="FX2" s="222">
        <f>$R$6</f>
        <v>14</v>
      </c>
      <c r="FY2" s="222">
        <f>$R$7</f>
        <v>16</v>
      </c>
      <c r="FZ2" s="222">
        <f>$R$8</f>
        <v>4</v>
      </c>
      <c r="GA2" s="222">
        <f>$R$9</f>
        <v>7</v>
      </c>
      <c r="GB2" s="222">
        <f>$AG$2</f>
        <v>1</v>
      </c>
      <c r="GC2" s="222">
        <f>$AG$3</f>
        <v>12</v>
      </c>
      <c r="GD2" s="222">
        <f>$AG$4</f>
        <v>15</v>
      </c>
      <c r="GE2" s="222">
        <f>$AG$5</f>
        <v>11</v>
      </c>
      <c r="GF2" s="222">
        <f>$AG$6</f>
        <v>19</v>
      </c>
      <c r="GG2" s="222">
        <f>$AG$7</f>
        <v>8</v>
      </c>
      <c r="GH2" s="222">
        <f>$AG$8</f>
        <v>2</v>
      </c>
      <c r="GI2" s="223">
        <f>$AG$9</f>
        <v>5</v>
      </c>
    </row>
    <row r="3" spans="1:325" ht="12.75" customHeight="1" thickBot="1">
      <c r="I3" s="290"/>
      <c r="J3" s="290"/>
      <c r="K3" s="290"/>
      <c r="L3" s="290"/>
      <c r="M3" s="290"/>
      <c r="N3" s="290"/>
      <c r="P3" s="899" t="s">
        <v>46</v>
      </c>
      <c r="Q3" s="341">
        <v>2</v>
      </c>
      <c r="R3" s="104">
        <f>VLOOKUP(S3,Draw!$B$3:$C$42,2,FALSE)</f>
        <v>3</v>
      </c>
      <c r="S3" s="748" t="str">
        <f>Draw!H25</f>
        <v>Dimitry Khomitsevich</v>
      </c>
      <c r="T3" s="999"/>
      <c r="U3" s="755"/>
      <c r="V3" s="756"/>
      <c r="W3" s="3" t="str">
        <f>IF($JO$10&lt;W$1,"",VLOOKUP(W$1,$JO$12:$JQ$91,3,FALSE))</f>
        <v/>
      </c>
      <c r="X3" s="4" t="str">
        <f>IF($JO$10&lt;X$1,"",VLOOKUP(X$1,$JO$12:$JQ$91,3,FALSE))</f>
        <v/>
      </c>
      <c r="Y3" s="4" t="str">
        <f>IF($JO$10&lt;Y$1,"",VLOOKUP(Y$1,$JO$12:$JQ$91,3,FALSE))</f>
        <v/>
      </c>
      <c r="Z3" s="4" t="str">
        <f>IF($JO$10&lt;Z$1,"",VLOOKUP(Z$1,$JO$12:$JQ$91,3,FALSE))</f>
        <v/>
      </c>
      <c r="AA3" s="4" t="str">
        <f>IF($JO$10&lt;AA$1,"",VLOOKUP(AA$1,$JO$12:$JQ$91,3,FALSE))</f>
        <v/>
      </c>
      <c r="AB3" s="7" t="str">
        <f t="shared" ref="AB3:AB10" si="2">IF(W3="","",SUM(W3:AA3))</f>
        <v/>
      </c>
      <c r="AC3" s="57" t="str">
        <f t="shared" si="0"/>
        <v/>
      </c>
      <c r="AF3" s="341">
        <v>10</v>
      </c>
      <c r="AG3" s="104">
        <f>VLOOKUP(AH3,Draw!$B$3:$C$42,2,FALSE)</f>
        <v>12</v>
      </c>
      <c r="AH3" s="748" t="str">
        <f>Draw!H33</f>
        <v>Hans Weber</v>
      </c>
      <c r="AI3" s="999"/>
      <c r="AJ3" s="755"/>
      <c r="AK3" s="756"/>
      <c r="AL3" s="3" t="str">
        <f>IF($KM$10&lt;AL$1,"",VLOOKUP(AL$1,$KM$12:$KO$91,3,FALSE))</f>
        <v/>
      </c>
      <c r="AM3" s="4" t="str">
        <f>IF($KM$10&lt;AM$1,"",VLOOKUP(AM$1,$KM$12:$KO$91,3,FALSE))</f>
        <v/>
      </c>
      <c r="AN3" s="4" t="str">
        <f>IF($KM$10&lt;AN$1,"",VLOOKUP(AN$1,$KM$12:$KO$91,3,FALSE))</f>
        <v/>
      </c>
      <c r="AO3" s="4" t="str">
        <f>IF($KM$10&lt;AO$1,"",VLOOKUP(AO$1,$KM$12:$KO$91,3,FALSE))</f>
        <v/>
      </c>
      <c r="AP3" s="4" t="str">
        <f>IF($KM$10&lt;AP$1,"",VLOOKUP(AP$1,$KM$12:$KO$91,3,FALSE))</f>
        <v/>
      </c>
      <c r="AQ3" s="7" t="str">
        <f t="shared" si="1"/>
        <v/>
      </c>
      <c r="AR3" s="57" t="str">
        <f t="shared" ref="AR3:AR10" si="3">IF($AQ$27="","",SUMIF($CH$3:$CH$20,AH3,$CC$3:$CC$20))</f>
        <v/>
      </c>
      <c r="AT3" s="1079" t="s">
        <v>46</v>
      </c>
      <c r="AU3" s="1080"/>
      <c r="AV3" s="720">
        <f>IF(BW7=0,0,SUM(BW7/BZ7))</f>
        <v>0</v>
      </c>
      <c r="AW3" s="1081">
        <f>BW9</f>
        <v>0</v>
      </c>
      <c r="AX3" s="1082"/>
      <c r="AY3" s="1081">
        <f>COUNTIF($BM$12:$BM$43,3)+COUNTIF($BR$12:$BR$43,3)+COUNTIF($BW$12:$BW$43,3)</f>
        <v>0</v>
      </c>
      <c r="AZ3" s="1082"/>
      <c r="BA3" s="1081">
        <f>COUNTIF($BM$12:$BM$43,2)+COUNTIF($BR$12:$BR$43,2)+COUNTIF($BW$12:$BW$43,2)</f>
        <v>0</v>
      </c>
      <c r="BB3" s="1082"/>
      <c r="BC3" s="1081">
        <f>COUNTIF($BL$12:$BL$43,1)+COUNTIF($BQ$12:$BQ$43,1)+COUNTIF($BV$12:$BV$43,1)</f>
        <v>0</v>
      </c>
      <c r="BD3" s="1082"/>
      <c r="BE3"/>
      <c r="BK3" s="1119" t="s">
        <v>74</v>
      </c>
      <c r="CC3" s="43">
        <f t="shared" ref="CC3:CC20" si="4">RANK(CI3,CI$3:CI$20)</f>
        <v>1</v>
      </c>
      <c r="CD3" s="44" t="str">
        <f>IF(CC3="","",IF(CC4=CC3,"=",""))</f>
        <v>=</v>
      </c>
      <c r="CE3" s="40">
        <v>1</v>
      </c>
      <c r="CF3" s="119">
        <f t="shared" ref="CF3:CF20" si="5">SUMIF(CW$3:CW$20,CH3,CT$3:CT$20)</f>
        <v>9</v>
      </c>
      <c r="CG3" s="124"/>
      <c r="CH3" s="73" t="str">
        <f>LOOKUP(CR$3,CT$3:CT$20,CW$3:CW$20)</f>
        <v>Daniil Ivanov</v>
      </c>
      <c r="CI3" s="276">
        <f t="shared" ref="CI3:CI20" si="6">LOOKUP($CR3,$CT$3:$CT$20,DN$3:DN$20)</f>
        <v>0</v>
      </c>
      <c r="CJ3" s="81" t="str">
        <f t="shared" ref="CJ3:CN20" si="7">LOOKUP($CR3,$CT$3:$CT$20,CX$3:CX$20)</f>
        <v/>
      </c>
      <c r="CK3" s="68" t="str">
        <f t="shared" si="7"/>
        <v/>
      </c>
      <c r="CL3" s="68" t="str">
        <f t="shared" si="7"/>
        <v/>
      </c>
      <c r="CM3" s="68" t="str">
        <f t="shared" si="7"/>
        <v/>
      </c>
      <c r="CN3" s="82" t="str">
        <f t="shared" si="7"/>
        <v/>
      </c>
      <c r="CO3" s="77">
        <f>SUMIF($CW$3:$CW$20,$CH3,$DC$3:$DC$20)</f>
        <v>0</v>
      </c>
      <c r="CP3" s="53"/>
      <c r="CQ3" s="247"/>
      <c r="CR3" s="27">
        <f t="shared" ref="CR3:CR20" si="8">SUMIF(CS$3:CS$20,CE3,CT$3:CT$20)</f>
        <v>9</v>
      </c>
      <c r="CS3" s="258">
        <f>RANK(DP3,$DP$3:$DP$20)+COUNTIF(DP$3:DP3,DP3)-1</f>
        <v>9</v>
      </c>
      <c r="CT3" s="23">
        <f t="shared" ref="CT3:CT10" si="9">Q2</f>
        <v>1</v>
      </c>
      <c r="CU3" s="422">
        <f>VLOOKUP(CW3,Draw!$B$3:$C$42,2,FALSE)</f>
        <v>9</v>
      </c>
      <c r="CV3" s="417">
        <f>VLOOKUP(CW3,Draw!$B$3:$C$42,2,FALSE)</f>
        <v>9</v>
      </c>
      <c r="CW3" s="24" t="str">
        <f t="shared" ref="CW3:CW10" si="10">S2</f>
        <v>Per-Anders Lindstrom</v>
      </c>
      <c r="CX3" s="25" t="str">
        <f t="shared" ref="CX3:DB10" si="11">W2</f>
        <v/>
      </c>
      <c r="CY3" s="25" t="str">
        <f t="shared" si="11"/>
        <v/>
      </c>
      <c r="CZ3" s="25" t="str">
        <f t="shared" si="11"/>
        <v/>
      </c>
      <c r="DA3" s="25" t="str">
        <f t="shared" si="11"/>
        <v/>
      </c>
      <c r="DB3" s="28" t="str">
        <f t="shared" si="11"/>
        <v/>
      </c>
      <c r="DC3" s="248">
        <f t="shared" ref="DC3:DC20" si="12">SUM(CX3:DB3)</f>
        <v>0</v>
      </c>
      <c r="DD3" s="243">
        <f t="shared" ref="DD3:DD20" si="13">COUNTIF(CX3:DB3,3)</f>
        <v>0</v>
      </c>
      <c r="DE3" s="236">
        <f>IF(DD3=0,0,DD3/100)</f>
        <v>0</v>
      </c>
      <c r="DF3" s="232">
        <f t="shared" ref="DF3:DF20" si="14">COUNTIF(CX3:DB3,2)</f>
        <v>0</v>
      </c>
      <c r="DG3" s="234">
        <f>IF(DF3=0,0,DF3/1000)</f>
        <v>0</v>
      </c>
      <c r="DH3" s="232">
        <f t="shared" ref="DH3:DH20" si="15">COUNTIF(CX3:DB3,1)</f>
        <v>0</v>
      </c>
      <c r="DI3" s="41">
        <f>IF(DH3=0,0,DH3/10000)</f>
        <v>0</v>
      </c>
      <c r="DJ3" s="271">
        <f t="shared" ref="DJ3:DJ20" si="16">COUNTIF(CX3:DB3,0)</f>
        <v>0</v>
      </c>
      <c r="DK3" s="602">
        <f>IF(DJ3=0,0,SUM((DJ3/100000)))</f>
        <v>0</v>
      </c>
      <c r="DL3" s="281">
        <f t="shared" ref="DL3:DL18" si="17">IF(EY3=0,0,EY3/1000000)</f>
        <v>0</v>
      </c>
      <c r="DM3" s="642">
        <f>SUM((60-$CU3)/100000000)</f>
        <v>5.0999999999999999E-7</v>
      </c>
      <c r="DN3" s="283">
        <f t="shared" ref="DN3:DN20" si="18">SUM(DC3+DE3+DG3+DI3+DK3)</f>
        <v>0</v>
      </c>
      <c r="DO3" s="283">
        <f t="shared" ref="DO3:DO20" si="19">DN3+DL3</f>
        <v>0</v>
      </c>
      <c r="DP3" s="646">
        <f>SUM(DO3+DM3)</f>
        <v>5.0999999999999999E-7</v>
      </c>
      <c r="DQ3" s="593"/>
      <c r="DR3" s="207"/>
      <c r="DS3" s="91">
        <f>IF($DN$3=$DN$4,$CV$3,"")</f>
        <v>9</v>
      </c>
      <c r="DT3" s="91">
        <f>IF($DN$3=$DN$5,$CV$3,"")</f>
        <v>9</v>
      </c>
      <c r="DU3" s="91">
        <f>IF($DN$3=$DN$6,$CV$3,"")</f>
        <v>9</v>
      </c>
      <c r="DV3" s="91">
        <f>IF($DN$3=$DN$7,$CV$3,"")</f>
        <v>9</v>
      </c>
      <c r="DW3" s="91">
        <f>IF($DN$3=$DN$8,$CV$3,"")</f>
        <v>9</v>
      </c>
      <c r="DX3" s="91">
        <f>IF($DN$3=$DN$9,$CV$3,"")</f>
        <v>9</v>
      </c>
      <c r="DY3" s="91">
        <f>IF($DN$3=$DN$10,$CV$3,"")</f>
        <v>9</v>
      </c>
      <c r="DZ3" s="91">
        <f>IF($DN$3=$DN$11,$CV$3,"")</f>
        <v>9</v>
      </c>
      <c r="EA3" s="91">
        <f>IF($DN$3=$DN$12,$CV$3,"")</f>
        <v>9</v>
      </c>
      <c r="EB3" s="91">
        <f>IF($DN$3=$DN$13,$CV$3,"")</f>
        <v>9</v>
      </c>
      <c r="EC3" s="91">
        <f>IF($DN$3=$DN$14,$CV$3,"")</f>
        <v>9</v>
      </c>
      <c r="ED3" s="91">
        <f>IF($DN$3=$DN$15,$CV$3,"")</f>
        <v>9</v>
      </c>
      <c r="EE3" s="91">
        <f>IF($DN$3=$DN$16,$CV$3,"")</f>
        <v>9</v>
      </c>
      <c r="EF3" s="91">
        <f>IF($DN$3=$DN$17,$CV$3,"")</f>
        <v>9</v>
      </c>
      <c r="EG3" s="224">
        <f>IF($DN$3=$DN$18,$CV$3,"")</f>
        <v>9</v>
      </c>
      <c r="EH3" s="214">
        <f>$R$2</f>
        <v>9</v>
      </c>
      <c r="EI3" s="207"/>
      <c r="EJ3" s="91" t="b">
        <f>IF($DS$3="","",$FU$3)</f>
        <v>0</v>
      </c>
      <c r="EK3" s="91" t="b">
        <f>IF($DT$3="","",$FV$3)</f>
        <v>0</v>
      </c>
      <c r="EL3" s="91" t="b">
        <f>IF($DU$3="","",$FW$3)</f>
        <v>0</v>
      </c>
      <c r="EM3" s="91" t="b">
        <f>IF($DV$3="","",$FX$3)</f>
        <v>0</v>
      </c>
      <c r="EN3" s="91" t="b">
        <f>IF($DW$3="","",$FY$3)</f>
        <v>0</v>
      </c>
      <c r="EO3" s="91" t="b">
        <f>IF($DX$3="","",$FZ$3)</f>
        <v>0</v>
      </c>
      <c r="EP3" s="91" t="b">
        <f>IF($DY$3="","",$GA$3)</f>
        <v>0</v>
      </c>
      <c r="EQ3" s="91" t="b">
        <f>IF($DZ$3="","",$GB$3)</f>
        <v>0</v>
      </c>
      <c r="ER3" s="91" t="b">
        <f>IF($EA$3="","",$GC$3)</f>
        <v>0</v>
      </c>
      <c r="ES3" s="91" t="b">
        <f>IF($EB$3="","",$GD$3)</f>
        <v>0</v>
      </c>
      <c r="ET3" s="91" t="b">
        <f>IF($EC$3="","",$GE$3)</f>
        <v>0</v>
      </c>
      <c r="EU3" s="91" t="b">
        <f>IF($ED$3="","",$GF$3)</f>
        <v>0</v>
      </c>
      <c r="EV3" s="91" t="b">
        <f>IF($EE$3="","",$GG$3)</f>
        <v>0</v>
      </c>
      <c r="EW3" s="91" t="b">
        <f>IF($EF$3="","",$GH$3)</f>
        <v>0</v>
      </c>
      <c r="EX3" s="224" t="b">
        <f>IF($EG$3="","",$GI$3)</f>
        <v>0</v>
      </c>
      <c r="EY3" s="229">
        <f>COUNTIF($EI$3:$EX$3,$EH$3)</f>
        <v>0</v>
      </c>
      <c r="FA3" s="130">
        <f t="shared" ref="FA3:FB20" si="20">CV3</f>
        <v>9</v>
      </c>
      <c r="FB3" s="13" t="str">
        <f t="shared" si="20"/>
        <v>Per-Anders Lindstrom</v>
      </c>
      <c r="FC3" s="129">
        <f>SUMIF($AG$32:$AG$39,$CV3,$AQ$32:$AQ$39)</f>
        <v>0</v>
      </c>
      <c r="FD3" s="129">
        <f t="shared" ref="FD3:FD19" si="21">SUMIF($AG$40:$AG$43,$CV3,$AQ$40:$AQ$43)</f>
        <v>0</v>
      </c>
      <c r="FE3" s="504">
        <v>0</v>
      </c>
      <c r="FF3" s="129">
        <f>IF(FB3=AH$40,1,IF(FB3=AH$41,1,IF(FB3=AH$42,1,IF(FB3=AH$43,1,0))))</f>
        <v>0</v>
      </c>
      <c r="FG3" s="483">
        <f t="shared" ref="FG3:FG20" si="22">IF(FD3&lt;&gt;0,DC3+SUM(FC3:FD3),DP3+SUM(FC3:FD3))</f>
        <v>5.0999999999999999E-7</v>
      </c>
      <c r="FH3" s="483">
        <f>SUM(FG3+FE3)</f>
        <v>5.0999999999999999E-7</v>
      </c>
      <c r="FI3" s="176">
        <f>IF(AND(FD3=0,FF3=0),FG3,IF(FG3,IF(FD3=3,30,IF(FD3=2,29,IF(FD3=1,28,IF(AND(AND(FF3=1,FE3=0,FD3=0)),SUM(27+(FG3/1000))))))))</f>
        <v>5.0999999999999999E-7</v>
      </c>
      <c r="FJ3" s="484">
        <f t="shared" ref="FJ3:FJ20" si="23">MAX(FG3:FI3)</f>
        <v>5.0999999999999999E-7</v>
      </c>
      <c r="FK3" s="762">
        <f t="shared" ref="FK3:FK20" si="24">RANK(FJ3,FJ$3:FJ$20)</f>
        <v>9</v>
      </c>
      <c r="FL3" s="762">
        <v>1</v>
      </c>
      <c r="FM3" s="717">
        <f>SUM(DC3+FC3+FD3)</f>
        <v>0</v>
      </c>
      <c r="FN3" s="512"/>
      <c r="FO3" s="623" t="str">
        <f>VLOOKUP($FL3,EZ$27:FB$44,3,FALSE)</f>
        <v>Daniil Ivanov</v>
      </c>
      <c r="FP3" s="678">
        <f>VLOOKUP($FO3,$FB$66:$FC$83,2,FALSE)</f>
        <v>0</v>
      </c>
      <c r="FQ3" s="13">
        <f t="shared" ref="FQ3:FQ20" si="25">COUNTIF(AH$40:AH$43,FO3)</f>
        <v>0</v>
      </c>
      <c r="FS3" s="214">
        <f>$R$2</f>
        <v>9</v>
      </c>
      <c r="FT3" s="207"/>
      <c r="FU3" s="91" t="b">
        <f>IF($M$20&gt;$M$21,$FS$4,IF($M$20&lt;$M$21,$FS$3))</f>
        <v>0</v>
      </c>
      <c r="FV3" s="91" t="b">
        <f>IF($AB$15&gt;$AB$14,$FS$3,IF($AB$15&lt;$AB$14,$FS$5))</f>
        <v>0</v>
      </c>
      <c r="FW3" s="91" t="b">
        <f>IF($AQ$14&gt;$AQ$12,$FS$3,IF($AQ$14&lt;$AQ$12,$FS$6))</f>
        <v>0</v>
      </c>
      <c r="FX3" s="91" t="b">
        <f>IF($M$36&gt;$M$37,$FS$3,IF($M$36&lt;$M$37,$FS$7))</f>
        <v>0</v>
      </c>
      <c r="FY3" s="91" t="b">
        <f>IF($AB$34&gt;$AB$32,$FS$3,IF($AB$34&lt;$AB$32,$FS$8))</f>
        <v>0</v>
      </c>
      <c r="FZ3" s="91" t="b">
        <f>IF($AQ$14&gt;$AQ$13,$FS$3,IF($AQ$14&lt;$AQ$13,$FS$9))</f>
        <v>0</v>
      </c>
      <c r="GA3" s="91" t="b">
        <f>IF($M$36&gt;$M$39,$FS$3,IF($M$36&lt;$M$39,$FS$10))</f>
        <v>0</v>
      </c>
      <c r="GB3" s="91" t="b">
        <f>IF($AB$34&gt;$AB$33,$FS$3,IF($AB$34&lt;$AB$33,$FS$11))</f>
        <v>0</v>
      </c>
      <c r="GC3" s="91" t="b">
        <f>IF($AQ$14&gt;$AQ$15,$FS$3,IF($AQ$14&lt;$AQ$15,$FS$12))</f>
        <v>0</v>
      </c>
      <c r="GD3" s="91" t="b">
        <f>IF($AB$15&gt;$AB$13,$FS$3,IF($AB$15&lt;$AB$13,$FS$13))</f>
        <v>0</v>
      </c>
      <c r="GE3" s="91" t="b">
        <f>IF($M$36&gt;$M$38,$FS$3,IF($M$36&lt;$M$38,$FS$14))</f>
        <v>0</v>
      </c>
      <c r="GF3" s="91" t="b">
        <f>IF($M$21&gt;$M$23,$FS$3,IF($M$21&lt;$M$23,$FS$15))</f>
        <v>0</v>
      </c>
      <c r="GG3" s="91" t="b">
        <f>IF($M$21&gt;$M$22,$FS$3,IF($M$21&lt;$M$22,$FS$16))</f>
        <v>0</v>
      </c>
      <c r="GH3" s="91" t="b">
        <f>IF($AB$34&gt;$AB$35,$FS$3,IF($AB$34&lt;$AB$35,$FS$17))</f>
        <v>0</v>
      </c>
      <c r="GI3" s="224" t="b">
        <f>IF($AB$15&gt;$AB$12,$FS$3,IF($AB$15&lt;$AB$12,$FS$18))</f>
        <v>0</v>
      </c>
      <c r="GK3" s="8">
        <v>1</v>
      </c>
      <c r="GL3" s="292"/>
      <c r="GM3" s="293"/>
      <c r="GN3" s="293"/>
      <c r="GO3" s="293"/>
      <c r="GP3" s="294"/>
      <c r="GQ3" s="229">
        <f>COUNTIF(CX3:DB3,"Fx")+COUNTIF(CX3:DB3,"M")+COUNTIF(CX3:DB3,"T")+COUNTIF(CX3:DB3,"X")+COUNTIF(CX3:DB3,"N")+COUNTIF(CX3:DB3,"NS")+COUNTIF(CX3:DB3,"F")+COUNTIF(CX3:DB3,"R")+COUNTIF(CX3:DB3,"FN")</f>
        <v>0</v>
      </c>
      <c r="GR3" s="601">
        <f>GQ3/1000000</f>
        <v>0</v>
      </c>
      <c r="GX3" s="1179" t="str">
        <f>S10</f>
        <v>Simon Reitsma</v>
      </c>
      <c r="HH3" s="1179" t="str">
        <f>AH10</f>
        <v>Max Niedermaier</v>
      </c>
    </row>
    <row r="4" spans="1:325" ht="12.75" customHeight="1" thickBot="1">
      <c r="I4" s="290"/>
      <c r="J4" s="290"/>
      <c r="K4" s="290"/>
      <c r="L4" s="290"/>
      <c r="M4" s="290"/>
      <c r="N4" s="290"/>
      <c r="P4" s="899" t="s">
        <v>221</v>
      </c>
      <c r="Q4" s="341">
        <v>3</v>
      </c>
      <c r="R4" s="104">
        <f>VLOOKUP(S4,Draw!$B$3:$C$42,2,FALSE)</f>
        <v>10</v>
      </c>
      <c r="S4" s="749" t="str">
        <f>Draw!H26</f>
        <v>Franz Zorn</v>
      </c>
      <c r="T4" s="1000"/>
      <c r="U4" s="755"/>
      <c r="V4" s="756"/>
      <c r="W4" s="3" t="str">
        <f>IF($JR$10&lt;W$1,"",VLOOKUP(W$1,$JR$12:$JT$91,3,FALSE))</f>
        <v/>
      </c>
      <c r="X4" s="4" t="str">
        <f>IF($JR$10&lt;X$1,"",VLOOKUP(X$1,$JR$12:$JT$91,3,FALSE))</f>
        <v/>
      </c>
      <c r="Y4" s="4" t="str">
        <f>IF($JR$10&lt;Y$1,"",VLOOKUP(Y$1,$JR$12:$JT$91,3,FALSE))</f>
        <v/>
      </c>
      <c r="Z4" s="4" t="str">
        <f>IF($JR$10&lt;Z$1,"",VLOOKUP(Z$1,$JR$12:$JT$91,3,FALSE))</f>
        <v/>
      </c>
      <c r="AA4" s="4" t="str">
        <f>IF($JR$10&lt;AA$1,"",VLOOKUP(AA$1,$JR$12:$JT$91,3,FALSE))</f>
        <v/>
      </c>
      <c r="AB4" s="7" t="str">
        <f t="shared" si="2"/>
        <v/>
      </c>
      <c r="AC4" s="57" t="str">
        <f t="shared" si="0"/>
        <v/>
      </c>
      <c r="AF4" s="341">
        <v>11</v>
      </c>
      <c r="AG4" s="104">
        <f>VLOOKUP(AH4,Draw!$B$3:$C$42,2,FALSE)</f>
        <v>15</v>
      </c>
      <c r="AH4" s="749" t="str">
        <f>Draw!H34</f>
        <v>Harald Simon</v>
      </c>
      <c r="AI4" s="1004"/>
      <c r="AJ4" s="540"/>
      <c r="AK4" s="541"/>
      <c r="AL4" s="3" t="str">
        <f>IF($KP$10&lt;AL$1,"",VLOOKUP(AL$1,$KP$12:$KR$91,3,FALSE))</f>
        <v/>
      </c>
      <c r="AM4" s="4" t="str">
        <f>IF($KP$10&lt;AM$1,"",VLOOKUP(AM$1,$KP$12:$KR$91,3,FALSE))</f>
        <v/>
      </c>
      <c r="AN4" s="4" t="str">
        <f>IF($KP$10&lt;AN$1,"",VLOOKUP(AN$1,$KP$12:$KR$91,3,FALSE))</f>
        <v/>
      </c>
      <c r="AO4" s="4" t="str">
        <f>IF($KP$10&lt;AO$1,"",VLOOKUP(AO$1,$KP$12:$KR$91,3,FALSE))</f>
        <v/>
      </c>
      <c r="AP4" s="4" t="str">
        <f>IF($KP$10&lt;AP$1,"",VLOOKUP(AP$1,$KP$12:$KR$91,3,FALSE))</f>
        <v/>
      </c>
      <c r="AQ4" s="7" t="str">
        <f t="shared" si="1"/>
        <v/>
      </c>
      <c r="AR4" s="57" t="str">
        <f t="shared" si="3"/>
        <v/>
      </c>
      <c r="AT4" s="1079" t="s">
        <v>221</v>
      </c>
      <c r="AU4" s="1080"/>
      <c r="AV4" s="721">
        <f>IF(BX7=0,0,SUM(BX7/BZ7))</f>
        <v>0</v>
      </c>
      <c r="AW4" s="1083">
        <f>BX9</f>
        <v>0</v>
      </c>
      <c r="AX4" s="1084"/>
      <c r="AY4" s="1083">
        <f>COUNTIF($BN$12:$BN$43,3)+COUNTIF($BS$12:$BS$43,3)+COUNTIF($BX$12:$BX$43,3)</f>
        <v>0</v>
      </c>
      <c r="AZ4" s="1084"/>
      <c r="BA4" s="1083">
        <f>COUNTIF($BN$12:$BN$43,2)+COUNTIF($BS$12:$BS$43,2)+COUNTIF($BX$12:$BX$43,2)</f>
        <v>0</v>
      </c>
      <c r="BB4" s="1084"/>
      <c r="BC4" s="1083">
        <f>COUNTIF($BN$12:$BN$43,1)+COUNTIF($BS$12:$BS$43,1)+COUNTIF($BX$12:$BX$43,1)</f>
        <v>0</v>
      </c>
      <c r="BD4" s="1084"/>
      <c r="BE4"/>
      <c r="BK4" s="1120"/>
      <c r="CC4" s="49">
        <f t="shared" si="4"/>
        <v>1</v>
      </c>
      <c r="CD4" s="50" t="str">
        <f t="shared" ref="CD4:CD17" si="26">IF(CC4="","",IF(OR(CC5=CC4,CC3=CC4),"=",""))</f>
        <v>=</v>
      </c>
      <c r="CE4" s="31">
        <v>2</v>
      </c>
      <c r="CF4" s="120">
        <f t="shared" si="5"/>
        <v>15</v>
      </c>
      <c r="CG4" s="125"/>
      <c r="CH4" s="74" t="str">
        <f t="shared" ref="CH4:CH20" si="27">LOOKUP(CR4,CT$3:CT$20,CW$3:CW$20)</f>
        <v>Dimitry Koltakov</v>
      </c>
      <c r="CI4" s="277">
        <f t="shared" si="6"/>
        <v>0</v>
      </c>
      <c r="CJ4" s="83" t="str">
        <f t="shared" si="7"/>
        <v/>
      </c>
      <c r="CK4" s="69" t="str">
        <f t="shared" si="7"/>
        <v/>
      </c>
      <c r="CL4" s="69" t="str">
        <f t="shared" si="7"/>
        <v/>
      </c>
      <c r="CM4" s="69" t="str">
        <f t="shared" si="7"/>
        <v/>
      </c>
      <c r="CN4" s="84" t="str">
        <f t="shared" si="7"/>
        <v/>
      </c>
      <c r="CO4" s="78">
        <f t="shared" ref="CO4:CO20" si="28">SUMIF(CW$3:CW$20,CH4,DC$3:DC$20)</f>
        <v>0</v>
      </c>
      <c r="CP4" s="52"/>
      <c r="CQ4" s="249"/>
      <c r="CR4" s="27">
        <f t="shared" si="8"/>
        <v>15</v>
      </c>
      <c r="CS4" s="258">
        <f>RANK(DP4,$DP$3:$DP$20)+COUNTIF(DP$3:DP4,DP4)-1</f>
        <v>3</v>
      </c>
      <c r="CT4" s="32">
        <f t="shared" si="9"/>
        <v>2</v>
      </c>
      <c r="CU4" s="423">
        <f>VLOOKUP(CW4,Draw!$B$3:$C$42,2,FALSE)</f>
        <v>3</v>
      </c>
      <c r="CV4" s="185">
        <f>VLOOKUP(CW4,Draw!$B$3:$C$42,2,FALSE)</f>
        <v>3</v>
      </c>
      <c r="CW4" s="33" t="str">
        <f t="shared" si="10"/>
        <v>Dimitry Khomitsevich</v>
      </c>
      <c r="CX4" s="4" t="str">
        <f t="shared" si="11"/>
        <v/>
      </c>
      <c r="CY4" s="4" t="str">
        <f t="shared" si="11"/>
        <v/>
      </c>
      <c r="CZ4" s="4" t="str">
        <f t="shared" si="11"/>
        <v/>
      </c>
      <c r="DA4" s="4" t="str">
        <f t="shared" si="11"/>
        <v/>
      </c>
      <c r="DB4" s="34" t="str">
        <f t="shared" si="11"/>
        <v/>
      </c>
      <c r="DC4" s="250">
        <f t="shared" si="12"/>
        <v>0</v>
      </c>
      <c r="DD4" s="243">
        <f t="shared" si="13"/>
        <v>0</v>
      </c>
      <c r="DE4" s="236">
        <f t="shared" ref="DE4:DE20" si="29">IF(DD4=0,0,DD4/100)</f>
        <v>0</v>
      </c>
      <c r="DF4" s="232">
        <f t="shared" si="14"/>
        <v>0</v>
      </c>
      <c r="DG4" s="234">
        <f t="shared" ref="DG4:DG20" si="30">IF(DF4=0,0,DF4/1000)</f>
        <v>0</v>
      </c>
      <c r="DH4" s="232">
        <f t="shared" si="15"/>
        <v>0</v>
      </c>
      <c r="DI4" s="41">
        <f t="shared" ref="DI4:DI20" si="31">IF(DH4=0,0,DH4/10000)</f>
        <v>0</v>
      </c>
      <c r="DJ4" s="271">
        <f t="shared" si="16"/>
        <v>0</v>
      </c>
      <c r="DK4" s="602">
        <f t="shared" ref="DK4:DK20" si="32">IF(DJ4=0,0,SUM((DJ4/100000)))</f>
        <v>0</v>
      </c>
      <c r="DL4" s="281">
        <f t="shared" si="17"/>
        <v>0</v>
      </c>
      <c r="DM4" s="643">
        <f>SUM((60-$CU4)/100000000)</f>
        <v>5.7000000000000005E-7</v>
      </c>
      <c r="DN4" s="284">
        <f t="shared" si="18"/>
        <v>0</v>
      </c>
      <c r="DO4" s="284">
        <f t="shared" si="19"/>
        <v>0</v>
      </c>
      <c r="DP4" s="647">
        <f t="shared" ref="DP4:DP20" si="33">SUM(DO4+DM4)</f>
        <v>5.7000000000000005E-7</v>
      </c>
      <c r="DQ4" s="594"/>
      <c r="DR4" s="205">
        <f>IF($DN$4=$DN$3,$CV$4,"")</f>
        <v>3</v>
      </c>
      <c r="DS4" s="208"/>
      <c r="DT4" s="4">
        <f>IF($DN$4=$DN$5,$CV$4,"")</f>
        <v>3</v>
      </c>
      <c r="DU4" s="4">
        <f>IF($DN$4=$DN$6,$CV$4,"")</f>
        <v>3</v>
      </c>
      <c r="DV4" s="4">
        <f>IF($DN$4=$DN$7,$CV$4,"")</f>
        <v>3</v>
      </c>
      <c r="DW4" s="4">
        <f>IF($DN$4=$DN$8,$CV$4,"")</f>
        <v>3</v>
      </c>
      <c r="DX4" s="4">
        <f>IF($DN$4=$DN$9,$CV$4,"")</f>
        <v>3</v>
      </c>
      <c r="DY4" s="4">
        <f>IF($DN$4=$DN$10,$CV$4,"")</f>
        <v>3</v>
      </c>
      <c r="DZ4" s="4">
        <f>IF($DN$4=$DN$11,$CV$4,"")</f>
        <v>3</v>
      </c>
      <c r="EA4" s="4">
        <f>IF($DN$4=$DN$12,$CV$4,"")</f>
        <v>3</v>
      </c>
      <c r="EB4" s="4">
        <f>IF($DN$4=$DN$13,$CV$4,"")</f>
        <v>3</v>
      </c>
      <c r="EC4" s="4">
        <f>IF($DN$4=$DN$14,$CV$4,"")</f>
        <v>3</v>
      </c>
      <c r="ED4" s="4">
        <f>IF($DN$4=$DN$15,$CV$4,"")</f>
        <v>3</v>
      </c>
      <c r="EE4" s="4">
        <f>IF($DN$4=$DN$16,$CV$4,"")</f>
        <v>3</v>
      </c>
      <c r="EF4" s="4">
        <f>IF($DN$4=$DN$17,$CV$4,"")</f>
        <v>3</v>
      </c>
      <c r="EG4" s="225">
        <f>IF($DN$4=$DN$18,$CV$4,"")</f>
        <v>3</v>
      </c>
      <c r="EH4" s="215">
        <f>$R$3</f>
        <v>3</v>
      </c>
      <c r="EI4" s="205" t="b">
        <f>IF($DR$4="","",$FT$4)</f>
        <v>0</v>
      </c>
      <c r="EJ4" s="208"/>
      <c r="EK4" s="4" t="b">
        <f>IF($DT$4="","",$FV$4)</f>
        <v>0</v>
      </c>
      <c r="EL4" s="4" t="b">
        <f>IF($DU$4="","",$FW$4)</f>
        <v>0</v>
      </c>
      <c r="EM4" s="4" t="b">
        <f>IF($DV$4="","",$FX$4)</f>
        <v>0</v>
      </c>
      <c r="EN4" s="4" t="b">
        <f>IF($DW$4="","",$FY$4)</f>
        <v>0</v>
      </c>
      <c r="EO4" s="4" t="b">
        <f>IF($DX$4="","",$FZ$4)</f>
        <v>0</v>
      </c>
      <c r="EP4" s="4" t="b">
        <f>IF($DY$4="","",$GA$4)</f>
        <v>0</v>
      </c>
      <c r="EQ4" s="4" t="b">
        <f>IF($DZ$4="","",$GB$4)</f>
        <v>0</v>
      </c>
      <c r="ER4" s="4" t="b">
        <f>IF($EA$4="","",$GC$4)</f>
        <v>0</v>
      </c>
      <c r="ES4" s="4" t="b">
        <f>IF($EB$4="","",$GD$4)</f>
        <v>0</v>
      </c>
      <c r="ET4" s="4" t="b">
        <f>IF($EC$4="","",$GE$4)</f>
        <v>0</v>
      </c>
      <c r="EU4" s="4" t="b">
        <f>IF($ED$4="","",$GF$4)</f>
        <v>0</v>
      </c>
      <c r="EV4" s="4" t="b">
        <f>IF($EE$4="","",$GG$4)</f>
        <v>0</v>
      </c>
      <c r="EW4" s="4" t="b">
        <f>IF($EF$4="","",$GH$4)</f>
        <v>0</v>
      </c>
      <c r="EX4" s="225" t="b">
        <f>IF($EG$4="","",$GI$4)</f>
        <v>0</v>
      </c>
      <c r="EY4" s="230">
        <f>COUNTIF($EI$4:$EX$4,$EH$4)</f>
        <v>0</v>
      </c>
      <c r="FA4" s="130">
        <f t="shared" si="20"/>
        <v>3</v>
      </c>
      <c r="FB4" s="13" t="str">
        <f t="shared" si="20"/>
        <v>Dimitry Khomitsevich</v>
      </c>
      <c r="FC4" s="129">
        <f t="shared" ref="FC4:FC20" si="34">SUMIF(AG$32:AG$39,CV4,AQ$32:AQ$39)</f>
        <v>0</v>
      </c>
      <c r="FD4" s="129">
        <f t="shared" si="21"/>
        <v>0</v>
      </c>
      <c r="FE4" s="504">
        <v>0</v>
      </c>
      <c r="FF4" s="129">
        <f t="shared" ref="FF4:FF20" si="35">IF(FB4=AH$40,1,IF(FB4=AH$41,1,IF(FB4=AH$42,1,IF(FB4=AH$43,1,0))))</f>
        <v>0</v>
      </c>
      <c r="FG4" s="483">
        <f t="shared" si="22"/>
        <v>5.7000000000000005E-7</v>
      </c>
      <c r="FH4" s="483">
        <f t="shared" ref="FH4:FH20" si="36">SUM(FG4+FE4)</f>
        <v>5.7000000000000005E-7</v>
      </c>
      <c r="FI4" s="176">
        <f t="shared" ref="FI4:FI20" si="37">IF(AND(FD4=0,FF4=0),FG4,IF(FG4,IF(FD4=3,30,IF(FD4=2,29,IF(FD4=1,28,IF(AND(AND(FF4=1,FE4=0,FD4=0)),SUM(27+(FG4/1000))))))))</f>
        <v>5.7000000000000005E-7</v>
      </c>
      <c r="FJ4" s="484">
        <f t="shared" si="23"/>
        <v>5.7000000000000005E-7</v>
      </c>
      <c r="FK4" s="762">
        <f t="shared" si="24"/>
        <v>3</v>
      </c>
      <c r="FL4" s="762">
        <v>2</v>
      </c>
      <c r="FM4" s="762">
        <f t="shared" ref="FM4:FM20" si="38">SUM(DC4+FC4+FD4)</f>
        <v>0</v>
      </c>
      <c r="FN4" s="512"/>
      <c r="FO4" s="624" t="str">
        <f t="shared" ref="FO4:FO20" si="39">VLOOKUP($FL4,EZ$27:FB$44,3,FALSE)</f>
        <v>Dimitry Koltakov</v>
      </c>
      <c r="FP4" s="679">
        <f>VLOOKUP($FO4,$FB$66:$FC$83,2,FALSE)</f>
        <v>0</v>
      </c>
      <c r="FQ4" s="13">
        <f t="shared" si="25"/>
        <v>0</v>
      </c>
      <c r="FS4" s="215">
        <f>$R$3</f>
        <v>3</v>
      </c>
      <c r="FT4" s="205" t="b">
        <f>IF($M$20&gt;$M$21,$FS$4,IF($M$20&lt;$M$21,$FS$3))</f>
        <v>0</v>
      </c>
      <c r="FU4" s="208"/>
      <c r="FV4" s="4" t="b">
        <f>IF($AQ$27&gt;$AQ$26,$FS$5,IF($AQ$27&lt;$AQ$26,$FS$4))</f>
        <v>0</v>
      </c>
      <c r="FW4" s="4" t="b">
        <f>IF($AB$38&gt;$AB$39,$FS$4,IF($AB$38&lt;$AB$39,$FS$6))</f>
        <v>0</v>
      </c>
      <c r="FX4" s="4" t="b">
        <f>IF($AQ$26&gt;$AQ$25,$FS$4,IF($AQ$26&lt;$AQ$25,$FS$7))</f>
        <v>0</v>
      </c>
      <c r="FY4" s="4" t="b">
        <f>IF($M$33&gt;$M$34,$FS$4,IF($M$33&lt;$M$34,$FS$8))</f>
        <v>0</v>
      </c>
      <c r="FZ4" s="4" t="b">
        <f>IF($M$33&gt;$M$32,$FS$4,IF($M$33&lt;$M$32,$FS$9))</f>
        <v>0</v>
      </c>
      <c r="GA4" s="4" t="b">
        <f>IF($AB$38&gt;$AB$37,$FS$4,IF($AB$38&lt;$AB$37,$FS$10))</f>
        <v>0</v>
      </c>
      <c r="GB4" s="4" t="b">
        <f>IF($AB$27&gt;$AB$26,$FS$4,IF($AB$27&lt;$AB$26,$FS$11))</f>
        <v>0</v>
      </c>
      <c r="GC4" s="4" t="b">
        <f>IF($AB$27&gt;$AB$25,$FS$4,IF($AB$27&lt;$AB$25,$FS$12))</f>
        <v>0</v>
      </c>
      <c r="GD4" s="4" t="b">
        <f>IF($AB$38&gt;$AB$36,$FS$4,IF($AB$38&lt;$AB$36,$FS$13))</f>
        <v>0</v>
      </c>
      <c r="GE4" s="4" t="b">
        <f>IF($AB$27&gt;$AB$24,$FS$4,IF($AB$27&lt;$AB$24,$FS$14))</f>
        <v>0</v>
      </c>
      <c r="GF4" s="4" t="b">
        <f>IF($M$20&gt;$M$23,$FS$4,IF($M$20&lt;$M$23,$FS$15))</f>
        <v>0</v>
      </c>
      <c r="GG4" s="4" t="b">
        <f>IF($M$20&gt;$M$22,$FS$4,IF($M$20&lt;$M$22,$FS$16))</f>
        <v>0</v>
      </c>
      <c r="GH4" s="4" t="b">
        <f>IF($AQ$26&gt;$AQ$24,$FS$4,IF($AQ$26&lt;$AQ$24,$FS$17))</f>
        <v>0</v>
      </c>
      <c r="GI4" s="225" t="b">
        <f>IF($M$33&gt;$M$35,$FS$4,IF($M$33&lt;$M$35,$FS$18))</f>
        <v>0</v>
      </c>
      <c r="GK4" s="8">
        <v>2</v>
      </c>
      <c r="GL4" s="205"/>
      <c r="GM4" s="4"/>
      <c r="GN4" s="4"/>
      <c r="GO4" s="4"/>
      <c r="GP4" s="225"/>
      <c r="GQ4" s="230">
        <f>COUNTIF(CX4:DB4,"Fx")+COUNTIF(CX4:DB4,"M")+COUNTIF(CX4:DB4,"T")+COUNTIF(CX4:DB4,"X")+COUNTIF(CX4:DB4,"N")+COUNTIF(CX4:DB4,"NS")+COUNTIF(CX4:DB4,"F")+COUNTIF(CX4:DB4,"R")</f>
        <v>0</v>
      </c>
      <c r="GR4" s="601">
        <f t="shared" ref="GR4:GR18" si="40">GQ4/1000000</f>
        <v>0</v>
      </c>
      <c r="GX4" s="1179"/>
      <c r="GY4" s="1179"/>
      <c r="GZ4" s="1179"/>
      <c r="HA4" s="1179" t="s">
        <v>5</v>
      </c>
      <c r="HH4" s="1179"/>
    </row>
    <row r="5" spans="1:325" ht="12.75" customHeight="1" thickBot="1">
      <c r="I5" s="290"/>
      <c r="J5" s="290"/>
      <c r="K5" s="290"/>
      <c r="L5" s="290"/>
      <c r="M5" s="290"/>
      <c r="N5" s="290"/>
      <c r="P5" s="900" t="s">
        <v>222</v>
      </c>
      <c r="Q5" s="341">
        <v>4</v>
      </c>
      <c r="R5" s="104">
        <f>VLOOKUP(S5,Draw!$B$3:$C$42,2,FALSE)</f>
        <v>6</v>
      </c>
      <c r="S5" s="750" t="str">
        <f>Draw!H27</f>
        <v>Jan Klatovsky</v>
      </c>
      <c r="T5" s="1001"/>
      <c r="U5" s="755"/>
      <c r="V5" s="756"/>
      <c r="W5" s="3" t="str">
        <f>IF($JU$10&lt;W$1,"",VLOOKUP(W$1,$JU$12:$JW$91,3,FALSE))</f>
        <v/>
      </c>
      <c r="X5" s="4" t="str">
        <f>IF($JU$10&lt;X$1,"",VLOOKUP(X$1,$JU$12:$JW$91,3,FALSE))</f>
        <v/>
      </c>
      <c r="Y5" s="4" t="str">
        <f>IF($JU$10&lt;Y$1,"",VLOOKUP(Y$1,$JU$12:$JW$91,3,FALSE))</f>
        <v/>
      </c>
      <c r="Z5" s="4" t="str">
        <f>IF($JU$10&lt;Z$1,"",VLOOKUP(Z$1,$JU$12:$JW$91,3,FALSE))</f>
        <v/>
      </c>
      <c r="AA5" s="4" t="str">
        <f>IF($JU$10&lt;AA$1,"",VLOOKUP(AA$1,$JU$12:$JW$91,3,FALSE))</f>
        <v/>
      </c>
      <c r="AB5" s="7" t="str">
        <f t="shared" si="2"/>
        <v/>
      </c>
      <c r="AC5" s="57" t="str">
        <f t="shared" si="0"/>
        <v/>
      </c>
      <c r="AF5" s="341">
        <v>12</v>
      </c>
      <c r="AG5" s="104">
        <f>VLOOKUP(AH5,Draw!$B$3:$C$42,2,FALSE)</f>
        <v>11</v>
      </c>
      <c r="AH5" s="750" t="str">
        <f>Draw!H35</f>
        <v>Vitaly Khomitsevich</v>
      </c>
      <c r="AI5" s="1005"/>
      <c r="AJ5" s="540"/>
      <c r="AK5" s="541"/>
      <c r="AL5" s="3" t="str">
        <f>IF($KS$10&lt;AL$1,"",VLOOKUP(AL$1,$KS$12:$KU$91,3,FALSE))</f>
        <v/>
      </c>
      <c r="AM5" s="4" t="str">
        <f>IF($KS$10&lt;AM$1,"",VLOOKUP(AM$1,$KS$12:$KU$91,3,FALSE))</f>
        <v/>
      </c>
      <c r="AN5" s="4" t="str">
        <f>IF($KS$10&lt;AN$1,"",VLOOKUP(AN$1,$KS$12:$KU$91,3,FALSE))</f>
        <v/>
      </c>
      <c r="AO5" s="4" t="str">
        <f>IF($KS$10&lt;AO$1,"",VLOOKUP(AO$1,$KS$12:$KU$91,3,FALSE))</f>
        <v/>
      </c>
      <c r="AP5" s="4" t="str">
        <f>IF($KS$10&lt;AP$1,"",VLOOKUP(AP$1,$KS$12:$KU$91,3,FALSE))</f>
        <v/>
      </c>
      <c r="AQ5" s="7" t="str">
        <f t="shared" si="1"/>
        <v/>
      </c>
      <c r="AR5" s="57" t="str">
        <f t="shared" si="3"/>
        <v/>
      </c>
      <c r="AT5" s="1079" t="s">
        <v>222</v>
      </c>
      <c r="AU5" s="1080"/>
      <c r="AV5" s="722">
        <f>IF(BY7=0,0,SUM(BY7/BZ7))</f>
        <v>0</v>
      </c>
      <c r="AW5" s="1085">
        <f>BY9</f>
        <v>0</v>
      </c>
      <c r="AX5" s="1086"/>
      <c r="AY5" s="1085">
        <f>COUNTIF($BO$12:$BO$43,3)+COUNTIF($BT$12:$BT$43,3)+COUNTIF($BY$12:$BY$43,3)</f>
        <v>0</v>
      </c>
      <c r="AZ5" s="1086"/>
      <c r="BA5" s="1085">
        <f>COUNTIF($BO$12:$BO$43,2)+COUNTIF($BT$12:$BT$43,2)+COUNTIF($BY$12:$BY$43,2)</f>
        <v>0</v>
      </c>
      <c r="BB5" s="1086"/>
      <c r="BC5" s="1085">
        <f>COUNTIF($BO$12:$BO$43,1)+COUNTIF($BT$12:$BT$43,1)+COUNTIF($BY$12:$BY$43,1)</f>
        <v>0</v>
      </c>
      <c r="BD5" s="1086"/>
      <c r="BE5"/>
      <c r="BK5" s="1120"/>
      <c r="CC5" s="49">
        <f t="shared" si="4"/>
        <v>1</v>
      </c>
      <c r="CD5" s="50" t="str">
        <f t="shared" si="26"/>
        <v>=</v>
      </c>
      <c r="CE5" s="31">
        <v>3</v>
      </c>
      <c r="CF5" s="120">
        <f t="shared" si="5"/>
        <v>2</v>
      </c>
      <c r="CG5" s="125"/>
      <c r="CH5" s="74" t="str">
        <f t="shared" si="27"/>
        <v>Dimitry Khomitsevich</v>
      </c>
      <c r="CI5" s="277">
        <f t="shared" si="6"/>
        <v>0</v>
      </c>
      <c r="CJ5" s="83" t="str">
        <f t="shared" si="7"/>
        <v/>
      </c>
      <c r="CK5" s="69" t="str">
        <f t="shared" si="7"/>
        <v/>
      </c>
      <c r="CL5" s="69" t="str">
        <f t="shared" si="7"/>
        <v/>
      </c>
      <c r="CM5" s="69" t="str">
        <f t="shared" si="7"/>
        <v/>
      </c>
      <c r="CN5" s="84" t="str">
        <f t="shared" si="7"/>
        <v/>
      </c>
      <c r="CO5" s="78">
        <f t="shared" si="28"/>
        <v>0</v>
      </c>
      <c r="CP5" s="52"/>
      <c r="CQ5" s="249"/>
      <c r="CR5" s="27">
        <f t="shared" si="8"/>
        <v>2</v>
      </c>
      <c r="CS5" s="258">
        <f>RANK(DP5,$DP$3:$DP$20)+COUNTIF(DP$3:DP5,DP5)-1</f>
        <v>10</v>
      </c>
      <c r="CT5" s="32">
        <f t="shared" si="9"/>
        <v>3</v>
      </c>
      <c r="CU5" s="423">
        <f>VLOOKUP(CW5,Draw!$B$3:$C$42,2,FALSE)</f>
        <v>10</v>
      </c>
      <c r="CV5" s="185">
        <f>VLOOKUP(CW5,Draw!$B$3:$C$42,2,FALSE)</f>
        <v>10</v>
      </c>
      <c r="CW5" s="33" t="str">
        <f t="shared" si="10"/>
        <v>Franz Zorn</v>
      </c>
      <c r="CX5" s="4" t="str">
        <f t="shared" si="11"/>
        <v/>
      </c>
      <c r="CY5" s="4" t="str">
        <f t="shared" si="11"/>
        <v/>
      </c>
      <c r="CZ5" s="4" t="str">
        <f t="shared" si="11"/>
        <v/>
      </c>
      <c r="DA5" s="4" t="str">
        <f t="shared" si="11"/>
        <v/>
      </c>
      <c r="DB5" s="34" t="str">
        <f t="shared" si="11"/>
        <v/>
      </c>
      <c r="DC5" s="250">
        <f t="shared" si="12"/>
        <v>0</v>
      </c>
      <c r="DD5" s="243">
        <f t="shared" si="13"/>
        <v>0</v>
      </c>
      <c r="DE5" s="236">
        <f t="shared" si="29"/>
        <v>0</v>
      </c>
      <c r="DF5" s="232">
        <f t="shared" si="14"/>
        <v>0</v>
      </c>
      <c r="DG5" s="234">
        <f t="shared" si="30"/>
        <v>0</v>
      </c>
      <c r="DH5" s="232">
        <f t="shared" si="15"/>
        <v>0</v>
      </c>
      <c r="DI5" s="41">
        <f t="shared" si="31"/>
        <v>0</v>
      </c>
      <c r="DJ5" s="271">
        <f t="shared" si="16"/>
        <v>0</v>
      </c>
      <c r="DK5" s="602">
        <f t="shared" si="32"/>
        <v>0</v>
      </c>
      <c r="DL5" s="281">
        <f t="shared" si="17"/>
        <v>0</v>
      </c>
      <c r="DM5" s="644">
        <f>SUM((60-$CU5)/100000000)</f>
        <v>4.9999999999999998E-7</v>
      </c>
      <c r="DN5" s="285">
        <f t="shared" si="18"/>
        <v>0</v>
      </c>
      <c r="DO5" s="285">
        <f t="shared" si="19"/>
        <v>0</v>
      </c>
      <c r="DP5" s="648">
        <f t="shared" si="33"/>
        <v>4.9999999999999998E-7</v>
      </c>
      <c r="DQ5" s="595"/>
      <c r="DR5" s="205">
        <f>IF($DN$5=$DN$3,$CV$5,"")</f>
        <v>10</v>
      </c>
      <c r="DS5" s="4">
        <f>IF($DN$5=$DN$4,$CV$5,"")</f>
        <v>10</v>
      </c>
      <c r="DT5" s="208"/>
      <c r="DU5" s="4">
        <f>IF($DN$5=$DN$6,$CV$5,"")</f>
        <v>10</v>
      </c>
      <c r="DV5" s="4">
        <f>IF($DN$5=$DN$7,$CV$5,"")</f>
        <v>10</v>
      </c>
      <c r="DW5" s="4">
        <f>IF($DN$5=$DN$8,$CV$5,"")</f>
        <v>10</v>
      </c>
      <c r="DX5" s="4">
        <f>IF($DN$5=$DN$9,$CV$5,"")</f>
        <v>10</v>
      </c>
      <c r="DY5" s="4">
        <f>IF($DN$5=$DN$10,$CV$5,"")</f>
        <v>10</v>
      </c>
      <c r="DZ5" s="4">
        <f>IF($DN$5=$DN$11,$CV$5,"")</f>
        <v>10</v>
      </c>
      <c r="EA5" s="4">
        <f>IF($DN$5=$DN$12,$CV$5,"")</f>
        <v>10</v>
      </c>
      <c r="EB5" s="4">
        <f>IF($DN$5=$DN$13,$CV$5,"")</f>
        <v>10</v>
      </c>
      <c r="EC5" s="4">
        <f>IF($DN$5=$DN$14,$CV$5,"")</f>
        <v>10</v>
      </c>
      <c r="ED5" s="4">
        <f>IF($DN$5=$DN$15,$CV$5,"")</f>
        <v>10</v>
      </c>
      <c r="EE5" s="4">
        <f>IF($DN$5=$DN$16,$CV$5,"")</f>
        <v>10</v>
      </c>
      <c r="EF5" s="4">
        <f>IF($DN$5=$DN$17,$CV$5,"")</f>
        <v>10</v>
      </c>
      <c r="EG5" s="225">
        <f>IF($DN$5=$DN$18,$CV$5,"")</f>
        <v>10</v>
      </c>
      <c r="EH5" s="215">
        <f>$R$4</f>
        <v>10</v>
      </c>
      <c r="EI5" s="205" t="b">
        <f>IF($DR$5="","",$FT$5)</f>
        <v>0</v>
      </c>
      <c r="EJ5" s="4" t="b">
        <f>IF($DS$5="","",$FU$5)</f>
        <v>0</v>
      </c>
      <c r="EK5" s="208"/>
      <c r="EL5" s="4" t="b">
        <f>IF($DU$5="","",$FW$5)</f>
        <v>0</v>
      </c>
      <c r="EM5" s="4" t="b">
        <f>IF($DV$5="","",$FX$5)</f>
        <v>0</v>
      </c>
      <c r="EN5" s="4" t="b">
        <f>IF($DW$5="","",$FY$5)</f>
        <v>0</v>
      </c>
      <c r="EO5" s="4" t="b">
        <f>IF($DX$5="","",$FZ$5)</f>
        <v>0</v>
      </c>
      <c r="EP5" s="4" t="b">
        <f>IF($DY$5="","",$GA$5)</f>
        <v>0</v>
      </c>
      <c r="EQ5" s="4" t="b">
        <f>IF($DZ$5="","",$GB$5)</f>
        <v>0</v>
      </c>
      <c r="ER5" s="4" t="b">
        <f>IF($EA$5="","",$GC$5)</f>
        <v>0</v>
      </c>
      <c r="ES5" s="4" t="b">
        <f>IF($EB$5="","",$GD$5)</f>
        <v>0</v>
      </c>
      <c r="ET5" s="4" t="b">
        <f>IF($EC$5="","",$GE$5)</f>
        <v>0</v>
      </c>
      <c r="EU5" s="4" t="b">
        <f>IF($ED$5="","",$GF$5)</f>
        <v>0</v>
      </c>
      <c r="EV5" s="4" t="b">
        <f>IF($EE$5="","",$GG$5)</f>
        <v>0</v>
      </c>
      <c r="EW5" s="4" t="b">
        <f>IF($EF$5="","",$GH$5)</f>
        <v>0</v>
      </c>
      <c r="EX5" s="225" t="b">
        <f>IF($EG$5="","",$GI$5)</f>
        <v>0</v>
      </c>
      <c r="EY5" s="230">
        <f>COUNTIF($EI$5:$EX$5,$EH$5)</f>
        <v>0</v>
      </c>
      <c r="FA5" s="130">
        <f t="shared" si="20"/>
        <v>10</v>
      </c>
      <c r="FB5" s="13" t="str">
        <f t="shared" si="20"/>
        <v>Franz Zorn</v>
      </c>
      <c r="FC5" s="129">
        <f t="shared" si="34"/>
        <v>0</v>
      </c>
      <c r="FD5" s="129">
        <f t="shared" si="21"/>
        <v>0</v>
      </c>
      <c r="FE5" s="504">
        <v>0</v>
      </c>
      <c r="FF5" s="129">
        <f t="shared" si="35"/>
        <v>0</v>
      </c>
      <c r="FG5" s="483">
        <f t="shared" si="22"/>
        <v>4.9999999999999998E-7</v>
      </c>
      <c r="FH5" s="483">
        <f t="shared" si="36"/>
        <v>4.9999999999999998E-7</v>
      </c>
      <c r="FI5" s="176">
        <f t="shared" si="37"/>
        <v>4.9999999999999998E-7</v>
      </c>
      <c r="FJ5" s="484">
        <f t="shared" si="23"/>
        <v>4.9999999999999998E-7</v>
      </c>
      <c r="FK5" s="762">
        <f t="shared" si="24"/>
        <v>10</v>
      </c>
      <c r="FL5" s="762">
        <v>3</v>
      </c>
      <c r="FM5" s="762">
        <f t="shared" si="38"/>
        <v>0</v>
      </c>
      <c r="FN5" s="512"/>
      <c r="FO5" s="624" t="str">
        <f t="shared" si="39"/>
        <v>Dimitry Khomitsevich</v>
      </c>
      <c r="FP5" s="679">
        <f>VLOOKUP($FO5,$FB$66:$FC$83,2,FALSE)</f>
        <v>0</v>
      </c>
      <c r="FQ5" s="13">
        <f t="shared" si="25"/>
        <v>0</v>
      </c>
      <c r="FS5" s="215">
        <f>$R$4</f>
        <v>10</v>
      </c>
      <c r="FT5" s="205" t="b">
        <f>IF($AB$15&gt;$AB$14,$FS$3,IF($AB$15&lt;$AB$14,$FS$5))</f>
        <v>0</v>
      </c>
      <c r="FU5" s="4" t="b">
        <f>IF($AQ$26&gt;$AQ$24,$FS$4,IF($AQ$26&lt;$AQ$24,$FS$5))</f>
        <v>0</v>
      </c>
      <c r="FV5" s="208"/>
      <c r="FW5" s="4" t="b">
        <f>IF($M$29&gt;$M$30,$FS$5,IF($M$29&lt;$M$30,$FS$6))</f>
        <v>0</v>
      </c>
      <c r="FX5" s="4" t="b">
        <f>IF($AQ$27&gt;$AQ$25,$FS$5,IF($AQ$27&lt;$AQ$25,$FS$7))</f>
        <v>0</v>
      </c>
      <c r="FY5" s="4" t="b">
        <f>IF($M$12&gt;$M$13,$FS$5,IF($M$12&lt;$M$13,$FS$8))</f>
        <v>0</v>
      </c>
      <c r="FZ5" s="4" t="b">
        <f>IF($AB$28&gt;$AB$30,$FS$5,IF($AB$28&lt;$AB$30,$FS$9))</f>
        <v>0</v>
      </c>
      <c r="GA5" s="4" t="b">
        <f>IF($M$12&gt;$M$14,$FS$5,IF($M$12&lt;$M$14,$FS$10))</f>
        <v>0</v>
      </c>
      <c r="GB5" s="4" t="b">
        <f>IF($M$29&gt;$M$28,$FS$5,IF($M$29&lt;$M$28,$FS$11))</f>
        <v>0</v>
      </c>
      <c r="GC5" s="4" t="b">
        <f>IF($M$12&gt;$M$15,$FS$5,IF($M$12&lt;$M$15,$FS$12))</f>
        <v>0</v>
      </c>
      <c r="GD5" s="4" t="b">
        <f>IF($AB$14&gt;$AB$13,$FS$5,IF($AB$14&lt;$AB$13,$FS$13))</f>
        <v>0</v>
      </c>
      <c r="GE5" s="4" t="b">
        <f>IF($AB$28&gt;$AB$31,$FS$5,IF($AB$28&lt;$AB$31,$FS$14))</f>
        <v>0</v>
      </c>
      <c r="GF5" s="4" t="b">
        <f>IF($AB$28&gt;$AB$29,$FS$5,IF($AB$28&lt;$AB$29,$FS$15))</f>
        <v>0</v>
      </c>
      <c r="GG5" s="4" t="b">
        <f>IF($M$29&gt;$M$31,$FS$5,IF($M$29&lt;$M$31,$FS$16))</f>
        <v>0</v>
      </c>
      <c r="GH5" s="4" t="b">
        <f>IF($AQ$27&gt;$AQ$24,$FS$5,IF($AQ$27&lt;$AQ$24,$FS$17))</f>
        <v>0</v>
      </c>
      <c r="GI5" s="225" t="b">
        <f>IF($AB$14&gt;$AB$12,$FS$5,IF($AB$14&lt;$AB$12,$FS$18))</f>
        <v>0</v>
      </c>
      <c r="GK5" s="8">
        <v>3</v>
      </c>
      <c r="GL5" s="205"/>
      <c r="GM5" s="4"/>
      <c r="GN5" s="4"/>
      <c r="GO5" s="4"/>
      <c r="GP5" s="225"/>
      <c r="GQ5" s="230">
        <f t="shared" ref="GQ5:GQ18" si="41">COUNTIF(CX5:DB5,"Fx")+COUNTIF(CX5:DB5,"M")+COUNTIF(CX5:DB5,"T")+COUNTIF(CX5:DB5,"X")+COUNTIF(CX5:DB5,"N")+COUNTIF(CX5:DB5,"NS")+COUNTIF(CX5:DB5,"F")+COUNTIF(CX5:DB5,"R")</f>
        <v>0</v>
      </c>
      <c r="GR5" s="601">
        <f t="shared" si="40"/>
        <v>0</v>
      </c>
      <c r="GX5" s="1179"/>
      <c r="GY5" s="1179"/>
      <c r="GZ5" s="1179"/>
      <c r="HA5" s="1179"/>
      <c r="HH5" s="1179"/>
    </row>
    <row r="6" spans="1:325" ht="12.75" customHeight="1" thickBot="1">
      <c r="I6" s="290"/>
      <c r="J6" s="290"/>
      <c r="K6" s="290"/>
      <c r="L6" s="290"/>
      <c r="M6" s="290"/>
      <c r="N6" s="290"/>
      <c r="Q6" s="341">
        <v>5</v>
      </c>
      <c r="R6" s="104">
        <f>VLOOKUP(S6,Draw!$B$3:$C$42,2,FALSE)</f>
        <v>14</v>
      </c>
      <c r="S6" s="748" t="str">
        <f>Draw!H28</f>
        <v>Antonin Klatovsky</v>
      </c>
      <c r="T6" s="999"/>
      <c r="U6" s="755"/>
      <c r="V6" s="756"/>
      <c r="W6" s="3" t="str">
        <f>IF($JX$10&lt;W$1,"",VLOOKUP(W$1,$JX$12:$JZ$91,3,FALSE))</f>
        <v/>
      </c>
      <c r="X6" s="4" t="str">
        <f>IF($JX$10&lt;X$1,"",VLOOKUP(X$1,$JX$12:$JZ$91,3,FALSE))</f>
        <v/>
      </c>
      <c r="Y6" s="4" t="str">
        <f>IF($JX$10&lt;Y$1,"",VLOOKUP(Y$1,$JX$12:$JZ$91,3,FALSE))</f>
        <v/>
      </c>
      <c r="Z6" s="4" t="str">
        <f>IF($JX$10&lt;Z$1,"",VLOOKUP(Z$1,$JX$12:$JZ$91,3,FALSE))</f>
        <v/>
      </c>
      <c r="AA6" s="4" t="str">
        <f>IF($JX$10&lt;AA$1,"",VLOOKUP(AA$1,$JX$12:$JZ$91,3,FALSE))</f>
        <v/>
      </c>
      <c r="AB6" s="7" t="str">
        <f t="shared" si="2"/>
        <v/>
      </c>
      <c r="AC6" s="57" t="str">
        <f t="shared" si="0"/>
        <v/>
      </c>
      <c r="AF6" s="341">
        <v>13</v>
      </c>
      <c r="AG6" s="104">
        <f>VLOOKUP(AH6,Draw!$B$3:$C$42,2,FALSE)</f>
        <v>19</v>
      </c>
      <c r="AH6" s="748" t="str">
        <f>Draw!H36</f>
        <v>Daniel Henderson</v>
      </c>
      <c r="AI6" s="1006"/>
      <c r="AJ6" s="540"/>
      <c r="AK6" s="541"/>
      <c r="AL6" s="3" t="str">
        <f>IF($KV$10&lt;AL$1,"",VLOOKUP(AL$1,$KV$12:$KX$91,3,FALSE))</f>
        <v/>
      </c>
      <c r="AM6" s="4" t="str">
        <f>IF($KV$10&lt;AM$1,"",VLOOKUP(AM$1,$KV$12:$KX$91,3,FALSE))</f>
        <v/>
      </c>
      <c r="AN6" s="4" t="str">
        <f>IF($KV$10&lt;AN$1,"",VLOOKUP(AN$1,$KV$12:$KX$91,3,FALSE))</f>
        <v/>
      </c>
      <c r="AO6" s="4" t="str">
        <f>IF($KV$10&lt;AO$1,"",VLOOKUP(AO$1,$KV$12:$KX$91,3,FALSE))</f>
        <v/>
      </c>
      <c r="AP6" s="4" t="str">
        <f>IF($KV$10&lt;AP$1,"",VLOOKUP(AP$1,$KV$12:$KX$91,3,FALSE))</f>
        <v/>
      </c>
      <c r="AQ6" s="7" t="str">
        <f t="shared" si="1"/>
        <v/>
      </c>
      <c r="AR6" s="57" t="str">
        <f t="shared" si="3"/>
        <v/>
      </c>
      <c r="AT6"/>
      <c r="AU6"/>
      <c r="AV6"/>
      <c r="AW6"/>
      <c r="AX6"/>
      <c r="AY6"/>
      <c r="AZ6"/>
      <c r="BA6"/>
      <c r="BB6"/>
      <c r="BC6"/>
      <c r="BD6"/>
      <c r="BE6"/>
      <c r="BK6" s="1120"/>
      <c r="CC6" s="47">
        <f t="shared" si="4"/>
        <v>1</v>
      </c>
      <c r="CD6" s="48" t="str">
        <f t="shared" si="26"/>
        <v>=</v>
      </c>
      <c r="CE6" s="22">
        <v>4</v>
      </c>
      <c r="CF6" s="121">
        <f t="shared" si="5"/>
        <v>7</v>
      </c>
      <c r="CG6" s="126"/>
      <c r="CH6" s="75" t="str">
        <f t="shared" si="27"/>
        <v>Igor Kononov</v>
      </c>
      <c r="CI6" s="278">
        <f t="shared" si="6"/>
        <v>0</v>
      </c>
      <c r="CJ6" s="85" t="str">
        <f t="shared" si="7"/>
        <v/>
      </c>
      <c r="CK6" s="70" t="str">
        <f t="shared" si="7"/>
        <v/>
      </c>
      <c r="CL6" s="70" t="str">
        <f t="shared" si="7"/>
        <v/>
      </c>
      <c r="CM6" s="70" t="str">
        <f t="shared" si="7"/>
        <v/>
      </c>
      <c r="CN6" s="86" t="str">
        <f t="shared" si="7"/>
        <v/>
      </c>
      <c r="CO6" s="79">
        <f t="shared" si="28"/>
        <v>0</v>
      </c>
      <c r="CP6" s="54"/>
      <c r="CQ6" s="249"/>
      <c r="CR6" s="27">
        <f t="shared" si="8"/>
        <v>7</v>
      </c>
      <c r="CS6" s="258">
        <f>RANK(DP6,$DP$3:$DP$20)+COUNTIF(DP$3:DP6,DP6)-1</f>
        <v>6</v>
      </c>
      <c r="CT6" s="32">
        <f t="shared" si="9"/>
        <v>4</v>
      </c>
      <c r="CU6" s="423">
        <f>VLOOKUP(CW6,Draw!$B$3:$C$42,2,FALSE)</f>
        <v>6</v>
      </c>
      <c r="CV6" s="185">
        <f>VLOOKUP(CW6,Draw!$B$3:$C$42,2,FALSE)</f>
        <v>6</v>
      </c>
      <c r="CW6" s="33" t="str">
        <f t="shared" si="10"/>
        <v>Jan Klatovsky</v>
      </c>
      <c r="CX6" s="4" t="str">
        <f t="shared" si="11"/>
        <v/>
      </c>
      <c r="CY6" s="4" t="str">
        <f t="shared" si="11"/>
        <v/>
      </c>
      <c r="CZ6" s="4" t="str">
        <f t="shared" si="11"/>
        <v/>
      </c>
      <c r="DA6" s="4" t="str">
        <f t="shared" si="11"/>
        <v/>
      </c>
      <c r="DB6" s="34" t="str">
        <f t="shared" si="11"/>
        <v/>
      </c>
      <c r="DC6" s="250">
        <f t="shared" si="12"/>
        <v>0</v>
      </c>
      <c r="DD6" s="243">
        <f t="shared" si="13"/>
        <v>0</v>
      </c>
      <c r="DE6" s="236">
        <f t="shared" si="29"/>
        <v>0</v>
      </c>
      <c r="DF6" s="232">
        <f t="shared" si="14"/>
        <v>0</v>
      </c>
      <c r="DG6" s="234">
        <f t="shared" si="30"/>
        <v>0</v>
      </c>
      <c r="DH6" s="232">
        <f t="shared" si="15"/>
        <v>0</v>
      </c>
      <c r="DI6" s="41">
        <f t="shared" si="31"/>
        <v>0</v>
      </c>
      <c r="DJ6" s="271">
        <f t="shared" si="16"/>
        <v>0</v>
      </c>
      <c r="DK6" s="602">
        <f t="shared" si="32"/>
        <v>0</v>
      </c>
      <c r="DL6" s="281">
        <f t="shared" si="17"/>
        <v>0</v>
      </c>
      <c r="DM6" s="643">
        <f>SUM((60-$CU6)/100000000)</f>
        <v>5.4000000000000002E-7</v>
      </c>
      <c r="DN6" s="284">
        <f t="shared" si="18"/>
        <v>0</v>
      </c>
      <c r="DO6" s="284">
        <f t="shared" si="19"/>
        <v>0</v>
      </c>
      <c r="DP6" s="647">
        <f t="shared" si="33"/>
        <v>5.4000000000000002E-7</v>
      </c>
      <c r="DQ6" s="594"/>
      <c r="DR6" s="205">
        <f>IF($DN$6=$DN$3,$CV$6,"")</f>
        <v>6</v>
      </c>
      <c r="DS6" s="4">
        <f>IF($DN$6=$DN$4,$CV$6,"")</f>
        <v>6</v>
      </c>
      <c r="DT6" s="4">
        <f>IF($DN$6=$DN$5,$CV$6,"")</f>
        <v>6</v>
      </c>
      <c r="DU6" s="208"/>
      <c r="DV6" s="4">
        <f>IF($DN$6=$DN$7,$CV$6,"")</f>
        <v>6</v>
      </c>
      <c r="DW6" s="4">
        <f>IF($DN$6=$DN$8,$CV$6,"")</f>
        <v>6</v>
      </c>
      <c r="DX6" s="4">
        <f>IF($DN$6=$DN$9,$CV$6,"")</f>
        <v>6</v>
      </c>
      <c r="DY6" s="4">
        <f>IF($DN$6=$DN$10,$CV$6,"")</f>
        <v>6</v>
      </c>
      <c r="DZ6" s="4">
        <f>IF($DN$6=$DN$11,$CV$6,"")</f>
        <v>6</v>
      </c>
      <c r="EA6" s="4">
        <f>IF($DN$6=$DN$12,$CV$6,"")</f>
        <v>6</v>
      </c>
      <c r="EB6" s="4">
        <f>IF($DN$6=$DN$13,$CV$6,"")</f>
        <v>6</v>
      </c>
      <c r="EC6" s="4">
        <f>IF($DN$6=$DN$14,$CV$6,"")</f>
        <v>6</v>
      </c>
      <c r="ED6" s="4">
        <f>IF($DN$6=$DN$15,$CV$6,"")</f>
        <v>6</v>
      </c>
      <c r="EE6" s="4">
        <f>IF($DN$6=$DN$16,$CV$6,"")</f>
        <v>6</v>
      </c>
      <c r="EF6" s="4">
        <f>IF($DN$6=$DN$17,$CV$6,"")</f>
        <v>6</v>
      </c>
      <c r="EG6" s="225">
        <f>IF($DN$6=$DN$18,$CV$6,"")</f>
        <v>6</v>
      </c>
      <c r="EH6" s="215">
        <f>$R$5</f>
        <v>6</v>
      </c>
      <c r="EI6" s="205" t="b">
        <f>IF($DR$6="","",$FT$6)</f>
        <v>0</v>
      </c>
      <c r="EJ6" s="4" t="b">
        <f>IF($DS$6="","",$FU$6)</f>
        <v>0</v>
      </c>
      <c r="EK6" s="4" t="b">
        <f>IF($DT$6="","",$FV$6)</f>
        <v>0</v>
      </c>
      <c r="EL6" s="208"/>
      <c r="EM6" s="4" t="b">
        <f>IF($DV$6="","",$FX$6)</f>
        <v>0</v>
      </c>
      <c r="EN6" s="4" t="b">
        <f>IF($DW$6="","",$FY$6)</f>
        <v>0</v>
      </c>
      <c r="EO6" s="4" t="b">
        <f>IF($DX$6="","",$FZ$6)</f>
        <v>0</v>
      </c>
      <c r="EP6" s="4" t="b">
        <f>IF($DY$6="","",$GA$6)</f>
        <v>0</v>
      </c>
      <c r="EQ6" s="4" t="b">
        <f>IF($DZ$6="","",$GB$6)</f>
        <v>0</v>
      </c>
      <c r="ER6" s="4" t="b">
        <f>IF($EA$6="","",$GC$6)</f>
        <v>0</v>
      </c>
      <c r="ES6" s="4" t="b">
        <f>IF($EB$6="","",$GD$6)</f>
        <v>0</v>
      </c>
      <c r="ET6" s="4" t="b">
        <f>IF($EC$6="","",$GE$6)</f>
        <v>0</v>
      </c>
      <c r="EU6" s="4" t="b">
        <f>IF($ED$6="","",$GF$6)</f>
        <v>0</v>
      </c>
      <c r="EV6" s="4" t="b">
        <f>IF($EE$6="","",$GG$6)</f>
        <v>0</v>
      </c>
      <c r="EW6" s="4" t="b">
        <f>IF($EF$6="","",$GH$6)</f>
        <v>0</v>
      </c>
      <c r="EX6" s="225" t="b">
        <f>IF($EG$6="","",$GI$6)</f>
        <v>0</v>
      </c>
      <c r="EY6" s="230">
        <f>COUNTIF($EI$6:$EX$6,$EH$6)</f>
        <v>0</v>
      </c>
      <c r="FA6" s="130">
        <f t="shared" si="20"/>
        <v>6</v>
      </c>
      <c r="FB6" s="13" t="str">
        <f t="shared" si="20"/>
        <v>Jan Klatovsky</v>
      </c>
      <c r="FC6" s="129">
        <f t="shared" si="34"/>
        <v>0</v>
      </c>
      <c r="FD6" s="129">
        <f t="shared" si="21"/>
        <v>0</v>
      </c>
      <c r="FE6" s="504">
        <v>0</v>
      </c>
      <c r="FF6" s="129">
        <f t="shared" si="35"/>
        <v>0</v>
      </c>
      <c r="FG6" s="483">
        <f t="shared" si="22"/>
        <v>5.4000000000000002E-7</v>
      </c>
      <c r="FH6" s="483">
        <f t="shared" si="36"/>
        <v>5.4000000000000002E-7</v>
      </c>
      <c r="FI6" s="176">
        <f t="shared" si="37"/>
        <v>5.4000000000000002E-7</v>
      </c>
      <c r="FJ6" s="484">
        <f t="shared" si="23"/>
        <v>5.4000000000000002E-7</v>
      </c>
      <c r="FK6" s="762">
        <f t="shared" si="24"/>
        <v>6</v>
      </c>
      <c r="FL6" s="762">
        <v>4</v>
      </c>
      <c r="FM6" s="762">
        <f t="shared" si="38"/>
        <v>0</v>
      </c>
      <c r="FN6" s="512"/>
      <c r="FO6" s="624" t="str">
        <f t="shared" si="39"/>
        <v>Igor Kononov</v>
      </c>
      <c r="FP6" s="679">
        <f t="shared" ref="FP6:FP20" si="42">VLOOKUP($FO6,$FB$66:$FC$83,2,FALSE)</f>
        <v>0</v>
      </c>
      <c r="FQ6" s="13">
        <f t="shared" si="25"/>
        <v>0</v>
      </c>
      <c r="FS6" s="215">
        <f>$R$5</f>
        <v>6</v>
      </c>
      <c r="FT6" s="205" t="b">
        <f>IF($AQ$14&gt;$AQ$12,$FS$3,IF($AQ$14&lt;$AQ$12,$FS$6))</f>
        <v>0</v>
      </c>
      <c r="FU6" s="4" t="b">
        <f>IF($AB$38&gt;$AB$39,$FS$4,IF($AB$38&lt;$AB$39,$FS$6))</f>
        <v>0</v>
      </c>
      <c r="FV6" s="4" t="b">
        <f>IF($M$29&gt;$M$30,$FS$5,IF($M$29&lt;$M$30,$FS$6))</f>
        <v>0</v>
      </c>
      <c r="FW6" s="208"/>
      <c r="FX6" s="4" t="b">
        <f>IF($AB$17&gt;$AB$18,$FS$6,IF($AB$17&lt;$AB$18,$FS$7))</f>
        <v>0</v>
      </c>
      <c r="FY6" s="4" t="b">
        <f>IF($AB$17&gt;$AB$19,$FS$6,IF($AB$17&lt;$AB$19,$FS$8))</f>
        <v>0</v>
      </c>
      <c r="FZ6" s="4" t="b">
        <f>IF($AQ$12&gt;$AQ$13,$FS$6,IF($AQ$12&lt;$AQ$13,$FS$9))</f>
        <v>0</v>
      </c>
      <c r="GA6" s="4" t="b">
        <f>IF($AB$39&gt;$AB$37,$FS$6,IF($AB$39&lt;$AB$37,$FS$10))</f>
        <v>0</v>
      </c>
      <c r="GB6" s="4" t="b">
        <f>IF($M$30&gt;$M$28,$FS$6,IF($M$30&lt;$M$28,$FS$11))</f>
        <v>0</v>
      </c>
      <c r="GC6" s="4" t="b">
        <f>IF($AQ$12&gt;$AQ$15,$FS$6,IF($AQ$12&lt;$AQ$15,$FS$12))</f>
        <v>0</v>
      </c>
      <c r="GD6" s="4" t="b">
        <f>IF($AB$39&gt;$AB$36,$FS$6,IF($AB$39&lt;$AB$36,$FS$13))</f>
        <v>0</v>
      </c>
      <c r="GE6" s="4" t="b">
        <f>IF($M$16&gt;$M$17,$FS$6,IF($M$16&lt;$M$17,$FS$14))</f>
        <v>0</v>
      </c>
      <c r="GF6" s="4" t="b">
        <f>IF($AB$17&gt;$AB$16,$FS$6,IF($AB$17&lt;$AB$16,$FS$15))</f>
        <v>0</v>
      </c>
      <c r="GG6" s="4" t="b">
        <f>IF($M$30&gt;$M$31,$FS$6,IF($M$30&lt;$M$31,$FS$16))</f>
        <v>0</v>
      </c>
      <c r="GH6" s="4" t="b">
        <f>IF($M$16&gt;$M$19,$FS$6,IF($M$16&lt;$M$19,$FS$17))</f>
        <v>0</v>
      </c>
      <c r="GI6" s="225" t="b">
        <f>IF($M$16&gt;$M$18,$FS$6,IF($M$16&lt;$M$18,$FS$18))</f>
        <v>0</v>
      </c>
      <c r="GK6" s="8">
        <v>4</v>
      </c>
      <c r="GL6" s="205"/>
      <c r="GM6" s="4"/>
      <c r="GN6" s="4"/>
      <c r="GO6" s="4"/>
      <c r="GP6" s="225"/>
      <c r="GQ6" s="230">
        <f t="shared" si="41"/>
        <v>0</v>
      </c>
      <c r="GR6" s="601">
        <f t="shared" si="40"/>
        <v>0</v>
      </c>
      <c r="GX6" s="1179"/>
      <c r="GY6" s="1179"/>
      <c r="GZ6" s="1179"/>
      <c r="HA6" s="1179"/>
      <c r="HH6" s="1179"/>
    </row>
    <row r="7" spans="1:325" ht="12.75" customHeight="1" thickBot="1">
      <c r="I7" s="1230" t="s">
        <v>361</v>
      </c>
      <c r="J7" s="1231"/>
      <c r="K7" s="1231"/>
      <c r="L7" s="1231"/>
      <c r="M7" s="1231"/>
      <c r="N7" s="1232"/>
      <c r="Q7" s="341">
        <v>6</v>
      </c>
      <c r="R7" s="104">
        <f>VLOOKUP(S7,Draw!$B$3:$C$42,2,FALSE)</f>
        <v>16</v>
      </c>
      <c r="S7" s="748" t="str">
        <f>Draw!H29</f>
        <v>Rene Stellingwerf</v>
      </c>
      <c r="T7" s="999"/>
      <c r="U7" s="755"/>
      <c r="V7" s="756"/>
      <c r="W7" s="3" t="str">
        <f>IF($KA$10&lt;W$1,"",VLOOKUP(W$1,$KA$12:$KC$91,3,FALSE))</f>
        <v/>
      </c>
      <c r="X7" s="4" t="str">
        <f>IF($KA$10&lt;X$1,"",VLOOKUP(X$1,$KA$12:$KC$91,3,FALSE))</f>
        <v/>
      </c>
      <c r="Y7" s="4" t="str">
        <f>IF($KA$10&lt;Y$1,"",VLOOKUP(Y$1,$KA$12:$KC$91,3,FALSE))</f>
        <v/>
      </c>
      <c r="Z7" s="4" t="str">
        <f>IF($KA$10&lt;Z$1,"",VLOOKUP(Z$1,$KA$12:$KC$91,3,FALSE))</f>
        <v/>
      </c>
      <c r="AA7" s="4" t="str">
        <f>IF($KA$10&lt;AA$1,"",VLOOKUP(AA$1,$KA$12:$KC$91,3,FALSE))</f>
        <v/>
      </c>
      <c r="AB7" s="7" t="str">
        <f t="shared" si="2"/>
        <v/>
      </c>
      <c r="AC7" s="57" t="str">
        <f t="shared" si="0"/>
        <v/>
      </c>
      <c r="AF7" s="341">
        <v>14</v>
      </c>
      <c r="AG7" s="104">
        <f>VLOOKUP(AH7,Draw!$B$3:$C$42,2,FALSE)</f>
        <v>8</v>
      </c>
      <c r="AH7" s="748" t="str">
        <f>Draw!H37</f>
        <v>Stefan Pletschacher</v>
      </c>
      <c r="AI7" s="1006"/>
      <c r="AJ7" s="540"/>
      <c r="AK7" s="541"/>
      <c r="AL7" s="3" t="str">
        <f>IF($KY$10&lt;AL$1,"",VLOOKUP(AL$1,$KY$12:$LA$91,3,FALSE))</f>
        <v/>
      </c>
      <c r="AM7" s="4" t="str">
        <f>IF($KY$10&lt;AM$1,"",VLOOKUP(AM$1,$KY$12:$LA$91,3,FALSE))</f>
        <v/>
      </c>
      <c r="AN7" s="4" t="str">
        <f>IF($KY$10&lt;AN$1,"",VLOOKUP(AN$1,$KY$12:$LA$91,3,FALSE))</f>
        <v/>
      </c>
      <c r="AO7" s="4" t="str">
        <f>IF($KY$10&lt;AO$1,"",VLOOKUP(AO$1,$KY$12:$LA$91,3,FALSE))</f>
        <v/>
      </c>
      <c r="AP7" s="4" t="str">
        <f>IF($KY$10&lt;AP$1,"",VLOOKUP(AP$1,$KY$12:$LA$91,3,FALSE))</f>
        <v/>
      </c>
      <c r="AQ7" s="7" t="str">
        <f t="shared" si="1"/>
        <v/>
      </c>
      <c r="AR7" s="57" t="str">
        <f t="shared" si="3"/>
        <v/>
      </c>
      <c r="AT7"/>
      <c r="AU7"/>
      <c r="AV7"/>
      <c r="AW7"/>
      <c r="AX7"/>
      <c r="AY7"/>
      <c r="AZ7"/>
      <c r="BA7"/>
      <c r="BB7"/>
      <c r="BC7"/>
      <c r="BD7"/>
      <c r="BE7"/>
      <c r="BK7" s="1120"/>
      <c r="BV7" s="8">
        <f>SUM(BL8+BQ8+BV8)</f>
        <v>0</v>
      </c>
      <c r="BW7" s="8">
        <f>SUM(BM8+BR8+BW8)</f>
        <v>0</v>
      </c>
      <c r="BX7" s="8">
        <f>SUM(BN8+BS8+BX8)</f>
        <v>0</v>
      </c>
      <c r="BY7" s="8">
        <f>SUM(BO8+BT8+BY8)</f>
        <v>0</v>
      </c>
      <c r="BZ7" s="762">
        <f>SUM(BV7:BY7)</f>
        <v>0</v>
      </c>
      <c r="CA7" s="762"/>
      <c r="CC7" s="49">
        <f t="shared" si="4"/>
        <v>1</v>
      </c>
      <c r="CD7" s="50" t="str">
        <f t="shared" si="26"/>
        <v>=</v>
      </c>
      <c r="CE7" s="31">
        <v>5</v>
      </c>
      <c r="CF7" s="121">
        <f t="shared" si="5"/>
        <v>16</v>
      </c>
      <c r="CG7" s="126"/>
      <c r="CH7" s="74" t="str">
        <f t="shared" si="27"/>
        <v>Stefan Svensson</v>
      </c>
      <c r="CI7" s="278">
        <f t="shared" si="6"/>
        <v>0</v>
      </c>
      <c r="CJ7" s="85" t="str">
        <f t="shared" si="7"/>
        <v/>
      </c>
      <c r="CK7" s="70" t="str">
        <f t="shared" si="7"/>
        <v/>
      </c>
      <c r="CL7" s="70" t="str">
        <f t="shared" si="7"/>
        <v/>
      </c>
      <c r="CM7" s="70" t="str">
        <f t="shared" si="7"/>
        <v/>
      </c>
      <c r="CN7" s="86" t="str">
        <f t="shared" si="7"/>
        <v/>
      </c>
      <c r="CO7" s="79">
        <f t="shared" si="28"/>
        <v>0</v>
      </c>
      <c r="CP7" s="52"/>
      <c r="CQ7" s="249"/>
      <c r="CR7" s="27">
        <f t="shared" si="8"/>
        <v>16</v>
      </c>
      <c r="CS7" s="258">
        <f>RANK(DP7,$DP$3:$DP$20)+COUNTIF(DP$3:DP7,DP7)-1</f>
        <v>13</v>
      </c>
      <c r="CT7" s="32">
        <f t="shared" si="9"/>
        <v>5</v>
      </c>
      <c r="CU7" s="423">
        <f>VLOOKUP(CW7,Draw!$B$3:$C$42,2,FALSE)</f>
        <v>14</v>
      </c>
      <c r="CV7" s="185">
        <f>VLOOKUP(CW7,Draw!$B$3:$C$42,2,FALSE)</f>
        <v>14</v>
      </c>
      <c r="CW7" s="33" t="str">
        <f t="shared" si="10"/>
        <v>Antonin Klatovsky</v>
      </c>
      <c r="CX7" s="4" t="str">
        <f t="shared" si="11"/>
        <v/>
      </c>
      <c r="CY7" s="4" t="str">
        <f t="shared" si="11"/>
        <v/>
      </c>
      <c r="CZ7" s="4" t="str">
        <f t="shared" si="11"/>
        <v/>
      </c>
      <c r="DA7" s="4" t="str">
        <f t="shared" si="11"/>
        <v/>
      </c>
      <c r="DB7" s="34" t="str">
        <f t="shared" si="11"/>
        <v/>
      </c>
      <c r="DC7" s="250">
        <f t="shared" si="12"/>
        <v>0</v>
      </c>
      <c r="DD7" s="243">
        <f t="shared" si="13"/>
        <v>0</v>
      </c>
      <c r="DE7" s="236">
        <f t="shared" si="29"/>
        <v>0</v>
      </c>
      <c r="DF7" s="232">
        <f t="shared" si="14"/>
        <v>0</v>
      </c>
      <c r="DG7" s="234">
        <f t="shared" si="30"/>
        <v>0</v>
      </c>
      <c r="DH7" s="232">
        <f t="shared" si="15"/>
        <v>0</v>
      </c>
      <c r="DI7" s="41">
        <f t="shared" si="31"/>
        <v>0</v>
      </c>
      <c r="DJ7" s="271">
        <f t="shared" si="16"/>
        <v>0</v>
      </c>
      <c r="DK7" s="602">
        <f t="shared" si="32"/>
        <v>0</v>
      </c>
      <c r="DL7" s="281">
        <f t="shared" si="17"/>
        <v>0</v>
      </c>
      <c r="DM7" s="644">
        <f>SUM((60-$CU7)/100000000)</f>
        <v>4.5999999999999999E-7</v>
      </c>
      <c r="DN7" s="285">
        <f t="shared" si="18"/>
        <v>0</v>
      </c>
      <c r="DO7" s="285">
        <f t="shared" si="19"/>
        <v>0</v>
      </c>
      <c r="DP7" s="648">
        <f t="shared" si="33"/>
        <v>4.5999999999999999E-7</v>
      </c>
      <c r="DQ7" s="595"/>
      <c r="DR7" s="205">
        <f>IF($DN$7=$DN$3,$CV$7,"")</f>
        <v>14</v>
      </c>
      <c r="DS7" s="4">
        <f>IF($DN$7=$DN$4,$CV$7,"")</f>
        <v>14</v>
      </c>
      <c r="DT7" s="4">
        <f>IF($DN$7=$DN$5,$CV$7,"")</f>
        <v>14</v>
      </c>
      <c r="DU7" s="4">
        <f>IF($DN$7=$DN$6,$CV$7,"")</f>
        <v>14</v>
      </c>
      <c r="DV7" s="208"/>
      <c r="DW7" s="4">
        <f>IF($DN$7=$DN$8,$CV$7,"")</f>
        <v>14</v>
      </c>
      <c r="DX7" s="4">
        <f>IF($DN$7=$DN$9,$CV$7,"")</f>
        <v>14</v>
      </c>
      <c r="DY7" s="4">
        <f>IF($DN$7=$DN$10,$CV$7,"")</f>
        <v>14</v>
      </c>
      <c r="DZ7" s="4">
        <f>IF($DN$7=$DN$11,$CV$7,"")</f>
        <v>14</v>
      </c>
      <c r="EA7" s="4">
        <f>IF($DN$7=$DN$12,$CV$7,"")</f>
        <v>14</v>
      </c>
      <c r="EB7" s="4">
        <f>IF($DN$7=$DN$13,$CV$7,"")</f>
        <v>14</v>
      </c>
      <c r="EC7" s="4">
        <f>IF($DN$7=$DN$14,$CV$7,"")</f>
        <v>14</v>
      </c>
      <c r="ED7" s="4">
        <f>IF($DN$7=$DN$15,$CV$7,"")</f>
        <v>14</v>
      </c>
      <c r="EE7" s="4">
        <f>IF($DN$7=$DN$16,$CV$7,"")</f>
        <v>14</v>
      </c>
      <c r="EF7" s="4">
        <f>IF($DN$7=$DN$17,$CV$7,"")</f>
        <v>14</v>
      </c>
      <c r="EG7" s="225">
        <f>IF($DN$7=$DN$18,$CV$7,"")</f>
        <v>14</v>
      </c>
      <c r="EH7" s="215">
        <f>$R$6</f>
        <v>14</v>
      </c>
      <c r="EI7" s="205" t="b">
        <f>IF($DR$7="","",$FT$7)</f>
        <v>0</v>
      </c>
      <c r="EJ7" s="4" t="b">
        <f>IF($DS$7="","",$FU$7)</f>
        <v>0</v>
      </c>
      <c r="EK7" s="4" t="b">
        <f>IF($DT$7="","",$FV$7)</f>
        <v>0</v>
      </c>
      <c r="EL7" s="4" t="b">
        <f>IF($DU$7="","",$FW$7)</f>
        <v>0</v>
      </c>
      <c r="EM7" s="208"/>
      <c r="EN7" s="4" t="b">
        <f>IF($DW$7="","",$FY$7)</f>
        <v>0</v>
      </c>
      <c r="EO7" s="4" t="b">
        <f>IF($DX$7="","",$FZ$7)</f>
        <v>0</v>
      </c>
      <c r="EP7" s="4" t="b">
        <f>IF($DY$7="","",$GA$7)</f>
        <v>0</v>
      </c>
      <c r="EQ7" s="4" t="b">
        <f>IF($DZ$7="","",$GB$7)</f>
        <v>0</v>
      </c>
      <c r="ER7" s="4" t="b">
        <f>IF($EA$7="","",$GC$7)</f>
        <v>0</v>
      </c>
      <c r="ES7" s="4" t="b">
        <f>IF($EB$7="","",$GD$7)</f>
        <v>0</v>
      </c>
      <c r="ET7" s="4" t="b">
        <f>IF($EC$7="","",$GE$7)</f>
        <v>0</v>
      </c>
      <c r="EU7" s="4" t="b">
        <f>IF($ED$7="","",$GF$7)</f>
        <v>0</v>
      </c>
      <c r="EV7" s="4" t="b">
        <f>IF($EE$7="","",$GG$7)</f>
        <v>0</v>
      </c>
      <c r="EW7" s="4" t="b">
        <f>IF($EF$7="","",$GH$7)</f>
        <v>0</v>
      </c>
      <c r="EX7" s="225" t="b">
        <f>IF($EG$7="","",$GI$7)</f>
        <v>0</v>
      </c>
      <c r="EY7" s="230">
        <f>COUNTIF($EI$7:$EX$7,$EH$7)</f>
        <v>0</v>
      </c>
      <c r="FA7" s="130">
        <f t="shared" si="20"/>
        <v>14</v>
      </c>
      <c r="FB7" s="13" t="str">
        <f t="shared" si="20"/>
        <v>Antonin Klatovsky</v>
      </c>
      <c r="FC7" s="129">
        <f t="shared" si="34"/>
        <v>0</v>
      </c>
      <c r="FD7" s="129">
        <f t="shared" si="21"/>
        <v>0</v>
      </c>
      <c r="FE7" s="504">
        <v>0</v>
      </c>
      <c r="FF7" s="129">
        <f t="shared" si="35"/>
        <v>0</v>
      </c>
      <c r="FG7" s="483">
        <f t="shared" si="22"/>
        <v>4.5999999999999999E-7</v>
      </c>
      <c r="FH7" s="483">
        <f t="shared" si="36"/>
        <v>4.5999999999999999E-7</v>
      </c>
      <c r="FI7" s="176">
        <f t="shared" si="37"/>
        <v>4.5999999999999999E-7</v>
      </c>
      <c r="FJ7" s="484">
        <f t="shared" si="23"/>
        <v>4.5999999999999999E-7</v>
      </c>
      <c r="FK7" s="762">
        <f t="shared" si="24"/>
        <v>13</v>
      </c>
      <c r="FL7" s="762">
        <v>5</v>
      </c>
      <c r="FM7" s="762">
        <f t="shared" si="38"/>
        <v>0</v>
      </c>
      <c r="FN7" s="512"/>
      <c r="FO7" s="624" t="str">
        <f t="shared" si="39"/>
        <v>Stefan Svensson</v>
      </c>
      <c r="FP7" s="679">
        <f t="shared" si="42"/>
        <v>0</v>
      </c>
      <c r="FQ7" s="13">
        <f t="shared" si="25"/>
        <v>0</v>
      </c>
      <c r="FS7" s="215">
        <f>$R$6</f>
        <v>14</v>
      </c>
      <c r="FT7" s="205" t="b">
        <f>IF($M$36&gt;$M$37,$FS$3,IF($M$36&lt;$M$37,$FS$7))</f>
        <v>0</v>
      </c>
      <c r="FU7" s="4" t="b">
        <f>IF($AQ$26&gt;$AQ$25,$FS$4,IF($AQ$26&lt;$AQ$25,$FS$7))</f>
        <v>0</v>
      </c>
      <c r="FV7" s="4" t="b">
        <f>IF($AQ$27&gt;$AQ$25,$FS$5,IF($AQ$27&lt;$AQ$25,$FS$7))</f>
        <v>0</v>
      </c>
      <c r="FW7" s="4" t="b">
        <f>IF($AB$17&gt;$AB$18,$FS$6,IF($AB$17&lt;$AB$18,$FS$7))</f>
        <v>0</v>
      </c>
      <c r="FX7" s="208"/>
      <c r="FY7" s="4" t="b">
        <f>IF($AB$18&gt;$AB$19,$FS$7,IF($AB$18&lt;$AB$19,$FS$8))</f>
        <v>0</v>
      </c>
      <c r="FZ7" s="4" t="b">
        <f>IF($M$24&gt;$M$25,$FS$7,IF($M$24&lt;$M$25,$FS$9))</f>
        <v>0</v>
      </c>
      <c r="GA7" s="4" t="b">
        <f>IF($M$37&gt;$M$39,$FS$7,IF($M$37&lt;$M$39,$FS$10))</f>
        <v>0</v>
      </c>
      <c r="GB7" s="4" t="b">
        <f>IF($M$24&gt;$M$27,$FS$7,IF($M$24&lt;$M$27,$FS$11))</f>
        <v>0</v>
      </c>
      <c r="GC7" s="4" t="b">
        <f>IF($AB$43&gt;$AB$42,$FS$7,IF($AB$43&lt;$AB$42,$FS$12))</f>
        <v>0</v>
      </c>
      <c r="GD7" s="4" t="b">
        <f>IF($M$24&gt;$M$26,$FS$7,IF($M$24&lt;$M$26,$FS$13))</f>
        <v>0</v>
      </c>
      <c r="GE7" s="4" t="b">
        <f>IF($M$37&gt;$M$38,$FS$7,IF($M$37&lt;$M$38,$FS$14))</f>
        <v>0</v>
      </c>
      <c r="GF7" s="4" t="b">
        <f>IF($AB$18&gt;$AB$16,$FS$7,IF($AB$18&lt;$AB$16,$FS$15))</f>
        <v>0</v>
      </c>
      <c r="GG7" s="4" t="b">
        <f>IF($AB$43&gt;$AB$40,$FS$7,IF($AB$43&lt;$AB$40,$FS$16))</f>
        <v>0</v>
      </c>
      <c r="GH7" s="4" t="b">
        <f>IF($AQ$25&gt;$AQ$24,$FS$7,IF($AQ$25&lt;$AQ$24,$FS$17))</f>
        <v>0</v>
      </c>
      <c r="GI7" s="225" t="b">
        <f>IF($AB$43&gt;$AB$41,$FS$7,IF($AB$43&lt;$AB$41,$FS$18))</f>
        <v>0</v>
      </c>
      <c r="GK7" s="8">
        <v>5</v>
      </c>
      <c r="GL7" s="205"/>
      <c r="GM7" s="4"/>
      <c r="GN7" s="4"/>
      <c r="GO7" s="4"/>
      <c r="GP7" s="225"/>
      <c r="GQ7" s="230">
        <f t="shared" si="41"/>
        <v>0</v>
      </c>
      <c r="GR7" s="601">
        <f t="shared" si="40"/>
        <v>0</v>
      </c>
      <c r="GX7" s="1179"/>
      <c r="GY7" s="1179"/>
      <c r="GZ7" s="1179"/>
      <c r="HA7" s="1179"/>
      <c r="HH7" s="1179"/>
    </row>
    <row r="8" spans="1:325" ht="12.75" customHeight="1" thickBot="1">
      <c r="I8" s="1234" t="str">
        <f>Draw!T6&amp;" 2"</f>
        <v>Assen 2</v>
      </c>
      <c r="J8" s="1235"/>
      <c r="K8" s="1235"/>
      <c r="L8" s="1235"/>
      <c r="M8" s="1235"/>
      <c r="N8" s="1236"/>
      <c r="Q8" s="341">
        <v>7</v>
      </c>
      <c r="R8" s="104">
        <f>VLOOKUP(S8,Draw!$B$3:$C$42,2,FALSE)</f>
        <v>4</v>
      </c>
      <c r="S8" s="749" t="str">
        <f>Draw!H30</f>
        <v>Igor Kononov</v>
      </c>
      <c r="T8" s="1000"/>
      <c r="U8" s="755"/>
      <c r="V8" s="756"/>
      <c r="W8" s="3" t="str">
        <f>IF($KD$10&lt;W$1,"",VLOOKUP(W$1,$KD$12:$KF$91,3,FALSE))</f>
        <v/>
      </c>
      <c r="X8" s="4" t="str">
        <f>IF($KD$10&lt;X$1,"",VLOOKUP(X$1,$KD$12:$KF$91,3,FALSE))</f>
        <v/>
      </c>
      <c r="Y8" s="4" t="str">
        <f>IF($KD$10&lt;Y$1,"",VLOOKUP(Y$1,$KD$12:$KF$91,3,FALSE))</f>
        <v/>
      </c>
      <c r="Z8" s="4" t="str">
        <f>IF($KD$10&lt;Z$1,"",VLOOKUP(Z$1,$KD$12:$KF$91,3,FALSE))</f>
        <v/>
      </c>
      <c r="AA8" s="4" t="str">
        <f>IF($KD$10&lt;AA$1,"",VLOOKUP(AA$1,$KD$12:$KF$91,3,FALSE))</f>
        <v/>
      </c>
      <c r="AB8" s="7" t="str">
        <f t="shared" si="2"/>
        <v/>
      </c>
      <c r="AC8" s="57" t="str">
        <f t="shared" si="0"/>
        <v/>
      </c>
      <c r="AF8" s="341">
        <v>15</v>
      </c>
      <c r="AG8" s="104">
        <f>VLOOKUP(AH8,Draw!$B$3:$C$42,2,FALSE)</f>
        <v>2</v>
      </c>
      <c r="AH8" s="749" t="str">
        <f>Draw!H38</f>
        <v>Dimitry Koltakov</v>
      </c>
      <c r="AI8" s="1004"/>
      <c r="AJ8" s="540"/>
      <c r="AK8" s="541"/>
      <c r="AL8" s="3" t="str">
        <f>IF($LB$10&lt;AL$1,"",VLOOKUP(AL$1,$LB$12:$LD$91,3,FALSE))</f>
        <v/>
      </c>
      <c r="AM8" s="4" t="str">
        <f>IF($LB$10&lt;AM$1,"",VLOOKUP(AM$1,$LB$12:$LD$91,3,FALSE))</f>
        <v/>
      </c>
      <c r="AN8" s="4" t="str">
        <f>IF($LB$10&lt;AN$1,"",VLOOKUP(AN$1,$LB$12:$LD$91,3,FALSE))</f>
        <v/>
      </c>
      <c r="AO8" s="4" t="str">
        <f>IF($LB$10&lt;AO$1,"",VLOOKUP(AO$1,$LB$12:$LD$91,3,FALSE))</f>
        <v/>
      </c>
      <c r="AP8" s="4" t="str">
        <f>IF($LB$10&lt;AP$1,"",VLOOKUP(AP$1,$LB$12:$LD$91,3,FALSE))</f>
        <v/>
      </c>
      <c r="AQ8" s="7" t="str">
        <f t="shared" si="1"/>
        <v/>
      </c>
      <c r="AR8" s="57" t="str">
        <f t="shared" si="3"/>
        <v/>
      </c>
      <c r="AT8"/>
      <c r="AU8"/>
      <c r="AV8"/>
      <c r="AW8"/>
      <c r="AX8"/>
      <c r="AY8"/>
      <c r="AZ8"/>
      <c r="BA8"/>
      <c r="BB8"/>
      <c r="BC8"/>
      <c r="BD8"/>
      <c r="BE8"/>
      <c r="BK8" s="1120"/>
      <c r="BL8" s="8">
        <f>COUNTIF(BL12:BL43,3)</f>
        <v>0</v>
      </c>
      <c r="BM8" s="8">
        <f>COUNTIF(BM12:BM43,3)</f>
        <v>0</v>
      </c>
      <c r="BN8" s="8">
        <f>COUNTIF(BN12:BN43,3)</f>
        <v>0</v>
      </c>
      <c r="BO8" s="8">
        <f>COUNTIF(BO12:BO43,3)</f>
        <v>0</v>
      </c>
      <c r="BQ8" s="8">
        <f>COUNTIF(BQ12:BQ43,3)</f>
        <v>0</v>
      </c>
      <c r="BR8" s="8">
        <f>COUNTIF(BR12:BR43,3)</f>
        <v>0</v>
      </c>
      <c r="BS8" s="8">
        <f>COUNTIF(BS12:BS43,3)</f>
        <v>0</v>
      </c>
      <c r="BT8" s="8">
        <f>COUNTIF(BT12:BT43,3)</f>
        <v>0</v>
      </c>
      <c r="BV8" s="8">
        <f>COUNTIF(BV12:BV43,3)</f>
        <v>0</v>
      </c>
      <c r="BW8" s="8">
        <f>COUNTIF(BW12:BW43,3)</f>
        <v>0</v>
      </c>
      <c r="BX8" s="8">
        <f>COUNTIF(BX12:BX43,3)</f>
        <v>0</v>
      </c>
      <c r="BY8" s="8">
        <f>COUNTIF(BY12:BY43,3)</f>
        <v>0</v>
      </c>
      <c r="CA8" s="762"/>
      <c r="CC8" s="49">
        <f t="shared" si="4"/>
        <v>1</v>
      </c>
      <c r="CD8" s="50" t="str">
        <f t="shared" si="26"/>
        <v>=</v>
      </c>
      <c r="CE8" s="22">
        <v>6</v>
      </c>
      <c r="CF8" s="121">
        <f t="shared" si="5"/>
        <v>4</v>
      </c>
      <c r="CG8" s="126"/>
      <c r="CH8" s="74" t="str">
        <f t="shared" si="27"/>
        <v>Jan Klatovsky</v>
      </c>
      <c r="CI8" s="278">
        <f t="shared" si="6"/>
        <v>0</v>
      </c>
      <c r="CJ8" s="85" t="str">
        <f t="shared" si="7"/>
        <v/>
      </c>
      <c r="CK8" s="70" t="str">
        <f t="shared" si="7"/>
        <v/>
      </c>
      <c r="CL8" s="70" t="str">
        <f t="shared" si="7"/>
        <v/>
      </c>
      <c r="CM8" s="70" t="str">
        <f t="shared" si="7"/>
        <v/>
      </c>
      <c r="CN8" s="86" t="str">
        <f t="shared" si="7"/>
        <v/>
      </c>
      <c r="CO8" s="79">
        <f t="shared" si="28"/>
        <v>0</v>
      </c>
      <c r="CP8" s="52"/>
      <c r="CQ8" s="249"/>
      <c r="CR8" s="27">
        <f t="shared" si="8"/>
        <v>4</v>
      </c>
      <c r="CS8" s="258">
        <f>RANK(DP8,$DP$3:$DP$20)+COUNTIF(DP$3:DP8,DP8)-1</f>
        <v>15</v>
      </c>
      <c r="CT8" s="32">
        <f t="shared" si="9"/>
        <v>6</v>
      </c>
      <c r="CU8" s="423">
        <f>VLOOKUP(CW8,Draw!$B$3:$C$42,2,FALSE)</f>
        <v>16</v>
      </c>
      <c r="CV8" s="185">
        <f>VLOOKUP(CW8,Draw!$B$3:$C$42,2,FALSE)</f>
        <v>16</v>
      </c>
      <c r="CW8" s="33" t="str">
        <f t="shared" si="10"/>
        <v>Rene Stellingwerf</v>
      </c>
      <c r="CX8" s="4" t="str">
        <f t="shared" si="11"/>
        <v/>
      </c>
      <c r="CY8" s="4" t="str">
        <f t="shared" si="11"/>
        <v/>
      </c>
      <c r="CZ8" s="4" t="str">
        <f t="shared" si="11"/>
        <v/>
      </c>
      <c r="DA8" s="4" t="str">
        <f t="shared" si="11"/>
        <v/>
      </c>
      <c r="DB8" s="34" t="str">
        <f t="shared" si="11"/>
        <v/>
      </c>
      <c r="DC8" s="250">
        <f t="shared" si="12"/>
        <v>0</v>
      </c>
      <c r="DD8" s="243">
        <f t="shared" si="13"/>
        <v>0</v>
      </c>
      <c r="DE8" s="236">
        <f t="shared" si="29"/>
        <v>0</v>
      </c>
      <c r="DF8" s="232">
        <f t="shared" si="14"/>
        <v>0</v>
      </c>
      <c r="DG8" s="234">
        <f t="shared" si="30"/>
        <v>0</v>
      </c>
      <c r="DH8" s="232">
        <f t="shared" si="15"/>
        <v>0</v>
      </c>
      <c r="DI8" s="41">
        <f t="shared" si="31"/>
        <v>0</v>
      </c>
      <c r="DJ8" s="271">
        <f t="shared" si="16"/>
        <v>0</v>
      </c>
      <c r="DK8" s="602">
        <f t="shared" si="32"/>
        <v>0</v>
      </c>
      <c r="DL8" s="281">
        <f t="shared" si="17"/>
        <v>0</v>
      </c>
      <c r="DM8" s="643">
        <f t="shared" ref="DM8:DM20" si="43">SUM((60-$CU8)/100000000)</f>
        <v>4.4000000000000002E-7</v>
      </c>
      <c r="DN8" s="284">
        <f t="shared" si="18"/>
        <v>0</v>
      </c>
      <c r="DO8" s="284">
        <f t="shared" si="19"/>
        <v>0</v>
      </c>
      <c r="DP8" s="647">
        <f t="shared" si="33"/>
        <v>4.4000000000000002E-7</v>
      </c>
      <c r="DQ8" s="594"/>
      <c r="DR8" s="205">
        <f>IF($DN$8=$DN$3,$CV$8,"")</f>
        <v>16</v>
      </c>
      <c r="DS8" s="4">
        <f>IF($DN$8=$DN$4,$CV$8,"")</f>
        <v>16</v>
      </c>
      <c r="DT8" s="4">
        <f>IF($DN$8=$DN$5,$CV$8,"")</f>
        <v>16</v>
      </c>
      <c r="DU8" s="4">
        <f>IF($DN$8=$DN$6,$CV$8,"")</f>
        <v>16</v>
      </c>
      <c r="DV8" s="4">
        <f>IF($DN$8=$DN$7,$CV$8,"")</f>
        <v>16</v>
      </c>
      <c r="DW8" s="208"/>
      <c r="DX8" s="4">
        <f>IF($DN$8=$DN$9,$CV$8,"")</f>
        <v>16</v>
      </c>
      <c r="DY8" s="4">
        <f>IF($DN$8=$DN$10,$CV$8,"")</f>
        <v>16</v>
      </c>
      <c r="DZ8" s="4">
        <f>IF($DN$8=$DN$11,$CV$8,"")</f>
        <v>16</v>
      </c>
      <c r="EA8" s="4">
        <f>IF($DN$8=$DN$12,$CV$8,"")</f>
        <v>16</v>
      </c>
      <c r="EB8" s="4">
        <f>IF($DN$8=$DN$13,$CV$8,"")</f>
        <v>16</v>
      </c>
      <c r="EC8" s="4">
        <f>IF($DN$8=$DN$14,$CV$8,"")</f>
        <v>16</v>
      </c>
      <c r="ED8" s="4">
        <f>IF($DN$8=$DN$15,$CV$8,"")</f>
        <v>16</v>
      </c>
      <c r="EE8" s="4">
        <f>IF($DN$8=$DN$16,$CV$8,"")</f>
        <v>16</v>
      </c>
      <c r="EF8" s="4">
        <f>IF($DN$8=$DN$17,$CV$8,"")</f>
        <v>16</v>
      </c>
      <c r="EG8" s="225">
        <f>IF($DN$8=$DN$18,$CV$8,"")</f>
        <v>16</v>
      </c>
      <c r="EH8" s="215">
        <f>$R$7</f>
        <v>16</v>
      </c>
      <c r="EI8" s="205" t="b">
        <f>IF($DR$8="","",$FT$8)</f>
        <v>0</v>
      </c>
      <c r="EJ8" s="4" t="b">
        <f>IF($DS$8="","",$FU$8)</f>
        <v>0</v>
      </c>
      <c r="EK8" s="4" t="b">
        <f>IF($DT$8="","",$FV$8)</f>
        <v>0</v>
      </c>
      <c r="EL8" s="4" t="b">
        <f>IF($DU$8="","",$FW$8)</f>
        <v>0</v>
      </c>
      <c r="EM8" s="4" t="b">
        <f>IF($DV$8="","",$FX$8)</f>
        <v>0</v>
      </c>
      <c r="EN8" s="208"/>
      <c r="EO8" s="4" t="b">
        <f>IF($DX$8="","",$FZ$8)</f>
        <v>0</v>
      </c>
      <c r="EP8" s="4" t="b">
        <f>IF($DY$8="","",$GA$8)</f>
        <v>0</v>
      </c>
      <c r="EQ8" s="4" t="b">
        <f>IF($DZ$8="","",$GB$8)</f>
        <v>0</v>
      </c>
      <c r="ER8" s="4" t="b">
        <f>IF($EA$8="","",$GC$8)</f>
        <v>0</v>
      </c>
      <c r="ES8" s="4" t="b">
        <f>IF($EB$8="","",$GD$8)</f>
        <v>0</v>
      </c>
      <c r="ET8" s="4" t="b">
        <f>IF($EC$8="","",$GE$8)</f>
        <v>0</v>
      </c>
      <c r="EU8" s="4" t="b">
        <f>IF($ED$8="","",$GF$8)</f>
        <v>0</v>
      </c>
      <c r="EV8" s="4" t="b">
        <f>IF($EE$8="","",$GG$8)</f>
        <v>0</v>
      </c>
      <c r="EW8" s="4" t="b">
        <f>IF($EF$8="","",$GH$8)</f>
        <v>0</v>
      </c>
      <c r="EX8" s="225" t="b">
        <f>IF($EG$8="","",$GI$8)</f>
        <v>0</v>
      </c>
      <c r="EY8" s="230">
        <f>COUNTIF($EI$8:$EX$8,$EH$8)</f>
        <v>0</v>
      </c>
      <c r="FA8" s="130">
        <f t="shared" si="20"/>
        <v>16</v>
      </c>
      <c r="FB8" s="13" t="str">
        <f t="shared" si="20"/>
        <v>Rene Stellingwerf</v>
      </c>
      <c r="FC8" s="129">
        <f t="shared" si="34"/>
        <v>0</v>
      </c>
      <c r="FD8" s="129">
        <f t="shared" si="21"/>
        <v>0</v>
      </c>
      <c r="FE8" s="504">
        <v>0</v>
      </c>
      <c r="FF8" s="129">
        <f t="shared" si="35"/>
        <v>0</v>
      </c>
      <c r="FG8" s="483">
        <f t="shared" si="22"/>
        <v>4.4000000000000002E-7</v>
      </c>
      <c r="FH8" s="483">
        <f t="shared" si="36"/>
        <v>4.4000000000000002E-7</v>
      </c>
      <c r="FI8" s="176">
        <f t="shared" si="37"/>
        <v>4.4000000000000002E-7</v>
      </c>
      <c r="FJ8" s="484">
        <f t="shared" si="23"/>
        <v>4.4000000000000002E-7</v>
      </c>
      <c r="FK8" s="762">
        <f t="shared" si="24"/>
        <v>15</v>
      </c>
      <c r="FL8" s="762">
        <v>6</v>
      </c>
      <c r="FM8" s="762">
        <f t="shared" si="38"/>
        <v>0</v>
      </c>
      <c r="FN8" s="512"/>
      <c r="FO8" s="624" t="str">
        <f t="shared" si="39"/>
        <v>Jan Klatovsky</v>
      </c>
      <c r="FP8" s="679">
        <f t="shared" si="42"/>
        <v>0</v>
      </c>
      <c r="FQ8" s="13">
        <f t="shared" si="25"/>
        <v>0</v>
      </c>
      <c r="FS8" s="215">
        <f>$R$7</f>
        <v>16</v>
      </c>
      <c r="FT8" s="205" t="b">
        <f>IF($AB$34&gt;$AB$32,$FS$3,IF($AB$34&lt;$AB$32,$FS$8))</f>
        <v>0</v>
      </c>
      <c r="FU8" s="4" t="b">
        <f>IF($M$33&gt;$M$34,$FS$4,IF($M$33&lt;$M$34,$FS$8))</f>
        <v>0</v>
      </c>
      <c r="FV8" s="4" t="b">
        <f>IF($M$12&gt;$M$13,$FS$5,IF($M$12&lt;$M$13,$FS$8))</f>
        <v>0</v>
      </c>
      <c r="FW8" s="4" t="b">
        <f>IF($AB$17&gt;$AB$19,$FS$6,IF($AB$17&lt;$AB$19,$FS$8))</f>
        <v>0</v>
      </c>
      <c r="FX8" s="4" t="b">
        <f>IF($AB$18&gt;$AB$19,$FS$7,IF($AB$18&lt;$AB$19,$FS$8))</f>
        <v>0</v>
      </c>
      <c r="FY8" s="208"/>
      <c r="FZ8" s="4" t="b">
        <f>IF($M$34&gt;$M$32,$FS$8,IF($M$34&lt;$M$32,$FS$9))</f>
        <v>0</v>
      </c>
      <c r="GA8" s="4" t="b">
        <f>IF($M$13&gt;$M$14,$FS$8,IF($M$13&lt;$M$14,$FS$10))</f>
        <v>0</v>
      </c>
      <c r="GB8" s="4" t="b">
        <f>IF($AB$32&gt;$AB$33,$FS$8,IF($AB$32&lt;$AB$33,$FS$11))</f>
        <v>0</v>
      </c>
      <c r="GC8" s="4" t="b">
        <f>IF($M$13&gt;$M$15,$FS$8,IF($M$13&lt;$M$15,$FS$12))</f>
        <v>0</v>
      </c>
      <c r="GD8" s="4" t="b">
        <f>IF($AQ$18&gt;$AQ$19,$FS$8,IF($AQ$18&lt;$AQ$19,$FS$13))</f>
        <v>0</v>
      </c>
      <c r="GE8" s="4" t="b">
        <f>IF($AQ$18&gt;$AQ$16,$FS$8,IF($AQ$18&lt;$AQ$16,$FS$14))</f>
        <v>0</v>
      </c>
      <c r="GF8" s="4" t="b">
        <f>IF($AB$19&gt;$AB$16,$FS$8,IF($AB$19&lt;$AB$16,$FS$15))</f>
        <v>0</v>
      </c>
      <c r="GG8" s="4" t="b">
        <f>IF($AQ$18&gt;$AQ$17,$FS$8,IF($AQ$18&lt;$AQ$17,$FS$16))</f>
        <v>0</v>
      </c>
      <c r="GH8" s="4" t="b">
        <f>IF($AB$32&gt;$AB$35,$FS$8,IF($AB$32&lt;$AB$35,$FS$17))</f>
        <v>0</v>
      </c>
      <c r="GI8" s="225" t="b">
        <f>IF($M$34&gt;$M$35,$FS$8,IF($M$34&lt;$M$35,$FS$18))</f>
        <v>0</v>
      </c>
      <c r="GK8" s="8">
        <v>6</v>
      </c>
      <c r="GL8" s="205"/>
      <c r="GM8" s="4"/>
      <c r="GN8" s="4"/>
      <c r="GO8" s="4"/>
      <c r="GP8" s="225"/>
      <c r="GQ8" s="230">
        <f t="shared" si="41"/>
        <v>0</v>
      </c>
      <c r="GR8" s="601">
        <f t="shared" si="40"/>
        <v>0</v>
      </c>
      <c r="GX8" s="1179"/>
      <c r="GY8" s="1179"/>
      <c r="GZ8" s="1179"/>
      <c r="HA8" s="1179"/>
      <c r="HH8" s="1179"/>
    </row>
    <row r="9" spans="1:325" ht="12.75" customHeight="1" thickBot="1">
      <c r="I9" s="1237"/>
      <c r="J9" s="1238"/>
      <c r="K9" s="1238"/>
      <c r="L9" s="1238"/>
      <c r="M9" s="1238"/>
      <c r="N9" s="1239"/>
      <c r="Q9" s="342">
        <v>8</v>
      </c>
      <c r="R9" s="304">
        <f>VLOOKUP(S9,Draw!$B$3:$C$42,2,FALSE)</f>
        <v>7</v>
      </c>
      <c r="S9" s="751" t="str">
        <f>Draw!H31</f>
        <v>Gunter Bauer</v>
      </c>
      <c r="T9" s="1002"/>
      <c r="U9" s="757"/>
      <c r="V9" s="758"/>
      <c r="W9" s="305" t="str">
        <f>IF($KG$10&lt;W$1,"",VLOOKUP(W$1,$KG$12:$KI$91,3,FALSE))</f>
        <v/>
      </c>
      <c r="X9" s="297" t="str">
        <f>IF($KG$10&lt;X$1,"",VLOOKUP(X$1,$KG$12:$KI$91,3,FALSE))</f>
        <v/>
      </c>
      <c r="Y9" s="297" t="str">
        <f>IF($KG$10&lt;Y$1,"",VLOOKUP(Y$1,$KG$12:$KI$91,3,FALSE))</f>
        <v/>
      </c>
      <c r="Z9" s="297" t="str">
        <f>IF($KG$10&lt;Z$1,"",VLOOKUP(Z$1,$KG$12:$KI$91,3,FALSE))</f>
        <v/>
      </c>
      <c r="AA9" s="306" t="str">
        <f>IF($KG$10&lt;AA$1,"",VLOOKUP(AA$1,$KG$12:$KI$91,3,FALSE))</f>
        <v/>
      </c>
      <c r="AB9" s="307" t="str">
        <f t="shared" si="2"/>
        <v/>
      </c>
      <c r="AC9" s="308" t="str">
        <f t="shared" si="0"/>
        <v/>
      </c>
      <c r="AD9" s="269"/>
      <c r="AE9" s="298"/>
      <c r="AF9" s="342">
        <v>16</v>
      </c>
      <c r="AG9" s="304">
        <f>VLOOKUP(AH9,Draw!$B$3:$C$42,2,FALSE)</f>
        <v>5</v>
      </c>
      <c r="AH9" s="751" t="str">
        <f>Draw!H39</f>
        <v>Stefan Svensson</v>
      </c>
      <c r="AI9" s="1007"/>
      <c r="AJ9" s="534"/>
      <c r="AK9" s="535"/>
      <c r="AL9" s="305" t="str">
        <f>IF($LE$10&lt;AL$1,"",VLOOKUP(AL$1,$LE$12:$LG$91,3,FALSE))</f>
        <v/>
      </c>
      <c r="AM9" s="297" t="str">
        <f>IF($LE$10&lt;AM$1,"",VLOOKUP(AM$1,$LE$12:$LG$91,3,FALSE))</f>
        <v/>
      </c>
      <c r="AN9" s="297" t="str">
        <f>IF($LE$10&lt;AN$1,"",VLOOKUP(AN$1,$LE$12:$LG$91,3,FALSE))</f>
        <v/>
      </c>
      <c r="AO9" s="297" t="str">
        <f>IF($LE$10&lt;AO$1,"",VLOOKUP(AO$1,$LE$12:$LG$91,3,FALSE))</f>
        <v/>
      </c>
      <c r="AP9" s="306" t="str">
        <f>IF($LE$10&lt;AP$1,"",VLOOKUP(AP$1,$LE$12:$LG$91,3,FALSE))</f>
        <v/>
      </c>
      <c r="AQ9" s="307" t="str">
        <f t="shared" si="1"/>
        <v/>
      </c>
      <c r="AR9" s="308" t="str">
        <f t="shared" si="3"/>
        <v/>
      </c>
      <c r="AT9"/>
      <c r="AU9"/>
      <c r="AV9"/>
      <c r="AW9"/>
      <c r="AX9"/>
      <c r="AY9"/>
      <c r="AZ9"/>
      <c r="BA9"/>
      <c r="BB9"/>
      <c r="BD9" s="1128" t="str">
        <f>IF(BJ17=23,"Meeting Result",IF(BJ17&lt;23,"Meeting Result
(After "&amp;BJ17&amp;" Heats)","GP Result"))</f>
        <v>Meeting Result
(After 0 Heats)</v>
      </c>
      <c r="BE9" s="1129"/>
      <c r="BF9" s="1130"/>
      <c r="BI9" s="133"/>
      <c r="BK9" s="1120"/>
      <c r="BL9" s="8">
        <f>SUM(BL12:BL43)</f>
        <v>0</v>
      </c>
      <c r="BM9" s="8">
        <f>SUM(BM12:BM43)</f>
        <v>0</v>
      </c>
      <c r="BN9" s="8">
        <f>SUM(BN12:BN43)</f>
        <v>0</v>
      </c>
      <c r="BO9" s="8">
        <f>SUM(BO12:BO43)</f>
        <v>0</v>
      </c>
      <c r="BQ9" s="8">
        <f>SUM(BL9+SUM(BQ12:BQ43))</f>
        <v>0</v>
      </c>
      <c r="BR9" s="8">
        <f>SUM(BM9+SUM(BR12:BR43))</f>
        <v>0</v>
      </c>
      <c r="BS9" s="8">
        <f>SUM(BN9+SUM(BS12:BS43))</f>
        <v>0</v>
      </c>
      <c r="BT9" s="8">
        <f>SUM(BO9+SUM(BT12:BT43))</f>
        <v>0</v>
      </c>
      <c r="BV9" s="8">
        <f>SUM(BQ9+SUM(BV12:BV43))</f>
        <v>0</v>
      </c>
      <c r="BW9" s="8">
        <f>SUM(BR9+SUM(BW12:BW43))</f>
        <v>0</v>
      </c>
      <c r="BX9" s="8">
        <f>SUM(BS9+SUM(BX12:BX43))</f>
        <v>0</v>
      </c>
      <c r="BY9" s="8">
        <f>SUM(BT9+SUM(BY12:BY43))</f>
        <v>0</v>
      </c>
      <c r="CA9" s="762"/>
      <c r="CC9" s="49">
        <f t="shared" si="4"/>
        <v>1</v>
      </c>
      <c r="CD9" s="50" t="str">
        <f t="shared" si="26"/>
        <v>=</v>
      </c>
      <c r="CE9" s="31">
        <v>7</v>
      </c>
      <c r="CF9" s="120">
        <f t="shared" si="5"/>
        <v>8</v>
      </c>
      <c r="CG9" s="125"/>
      <c r="CH9" s="74" t="str">
        <f t="shared" si="27"/>
        <v>Gunter Bauer</v>
      </c>
      <c r="CI9" s="277">
        <f t="shared" si="6"/>
        <v>0</v>
      </c>
      <c r="CJ9" s="83" t="str">
        <f t="shared" si="7"/>
        <v/>
      </c>
      <c r="CK9" s="69" t="str">
        <f t="shared" si="7"/>
        <v/>
      </c>
      <c r="CL9" s="69" t="str">
        <f t="shared" si="7"/>
        <v/>
      </c>
      <c r="CM9" s="69" t="str">
        <f t="shared" si="7"/>
        <v/>
      </c>
      <c r="CN9" s="84" t="str">
        <f t="shared" si="7"/>
        <v/>
      </c>
      <c r="CO9" s="78">
        <f t="shared" si="28"/>
        <v>0</v>
      </c>
      <c r="CP9" s="52"/>
      <c r="CQ9" s="249"/>
      <c r="CR9" s="27">
        <f t="shared" si="8"/>
        <v>8</v>
      </c>
      <c r="CS9" s="258">
        <f>RANK(DP9,$DP$3:$DP$20)+COUNTIF(DP$3:DP9,DP9)-1</f>
        <v>4</v>
      </c>
      <c r="CT9" s="32">
        <f t="shared" si="9"/>
        <v>7</v>
      </c>
      <c r="CU9" s="423">
        <f>VLOOKUP(CW9,Draw!$B$3:$C$42,2,FALSE)</f>
        <v>4</v>
      </c>
      <c r="CV9" s="185">
        <f>VLOOKUP(CW9,Draw!$B$3:$C$42,2,FALSE)</f>
        <v>4</v>
      </c>
      <c r="CW9" s="33" t="str">
        <f t="shared" si="10"/>
        <v>Igor Kononov</v>
      </c>
      <c r="CX9" s="4" t="str">
        <f t="shared" si="11"/>
        <v/>
      </c>
      <c r="CY9" s="4" t="str">
        <f t="shared" si="11"/>
        <v/>
      </c>
      <c r="CZ9" s="4" t="str">
        <f t="shared" si="11"/>
        <v/>
      </c>
      <c r="DA9" s="4" t="str">
        <f t="shared" si="11"/>
        <v/>
      </c>
      <c r="DB9" s="34" t="str">
        <f t="shared" si="11"/>
        <v/>
      </c>
      <c r="DC9" s="250">
        <f t="shared" si="12"/>
        <v>0</v>
      </c>
      <c r="DD9" s="243">
        <f t="shared" si="13"/>
        <v>0</v>
      </c>
      <c r="DE9" s="236">
        <f t="shared" si="29"/>
        <v>0</v>
      </c>
      <c r="DF9" s="232">
        <f t="shared" si="14"/>
        <v>0</v>
      </c>
      <c r="DG9" s="234">
        <f t="shared" si="30"/>
        <v>0</v>
      </c>
      <c r="DH9" s="232">
        <f t="shared" si="15"/>
        <v>0</v>
      </c>
      <c r="DI9" s="41">
        <f t="shared" si="31"/>
        <v>0</v>
      </c>
      <c r="DJ9" s="271">
        <f t="shared" si="16"/>
        <v>0</v>
      </c>
      <c r="DK9" s="602">
        <f t="shared" si="32"/>
        <v>0</v>
      </c>
      <c r="DL9" s="281">
        <f t="shared" si="17"/>
        <v>0</v>
      </c>
      <c r="DM9" s="644">
        <f t="shared" si="43"/>
        <v>5.6000000000000004E-7</v>
      </c>
      <c r="DN9" s="285">
        <f t="shared" si="18"/>
        <v>0</v>
      </c>
      <c r="DO9" s="675">
        <f t="shared" si="19"/>
        <v>0</v>
      </c>
      <c r="DP9" s="648">
        <f t="shared" si="33"/>
        <v>5.6000000000000004E-7</v>
      </c>
      <c r="DQ9" s="595"/>
      <c r="DR9" s="205">
        <f>IF($DN$9=$DN$3,$CV$9,"")</f>
        <v>4</v>
      </c>
      <c r="DS9" s="4">
        <f>IF($DN$9=$DN$4,$CV$9,"")</f>
        <v>4</v>
      </c>
      <c r="DT9" s="4">
        <f>IF($DN$9=$DN$5,$CV$9,"")</f>
        <v>4</v>
      </c>
      <c r="DU9" s="4">
        <f>IF($DN$9=$DN$6,$CV$9,"")</f>
        <v>4</v>
      </c>
      <c r="DV9" s="4">
        <f>IF($DN$9=$DN$7,$CV$9,"")</f>
        <v>4</v>
      </c>
      <c r="DW9" s="4">
        <f>IF($DN$9=$DN$8,$CV$9,"")</f>
        <v>4</v>
      </c>
      <c r="DX9" s="208"/>
      <c r="DY9" s="4">
        <f>IF($DN$9=$DN$10,$CV$9,"")</f>
        <v>4</v>
      </c>
      <c r="DZ9" s="4">
        <f>IF($DN$9=$DN$11,$CV$9,"")</f>
        <v>4</v>
      </c>
      <c r="EA9" s="4">
        <f>IF($DN$9=$DN$12,$CV$9,"")</f>
        <v>4</v>
      </c>
      <c r="EB9" s="4">
        <f>IF($DN$9=$DN$13,$CV$9,"")</f>
        <v>4</v>
      </c>
      <c r="EC9" s="4">
        <f>IF($DN$9=$DN$14,$CV$9,"")</f>
        <v>4</v>
      </c>
      <c r="ED9" s="4">
        <f>IF($DN$9=$DN$15,$CV$9,"")</f>
        <v>4</v>
      </c>
      <c r="EE9" s="4">
        <f>IF($DN$9=$DN$16,$CV$9,"")</f>
        <v>4</v>
      </c>
      <c r="EF9" s="4">
        <f>IF($DN$9=$DN$17,$CV$9,"")</f>
        <v>4</v>
      </c>
      <c r="EG9" s="225">
        <f>IF($DN$9=$DN$18,$CV$9,"")</f>
        <v>4</v>
      </c>
      <c r="EH9" s="215">
        <f>$R$8</f>
        <v>4</v>
      </c>
      <c r="EI9" s="205" t="b">
        <f>IF($DR$9="","",$FT$9)</f>
        <v>0</v>
      </c>
      <c r="EJ9" s="4" t="b">
        <f>IF($DS$9="","",$FU$9)</f>
        <v>0</v>
      </c>
      <c r="EK9" s="4" t="b">
        <f>IF($DT$9="","",$FV$9)</f>
        <v>0</v>
      </c>
      <c r="EL9" s="4" t="b">
        <f>IF($DU$9="","",$FW$9)</f>
        <v>0</v>
      </c>
      <c r="EM9" s="4" t="b">
        <f>IF($DV$9="","",$FX$9)</f>
        <v>0</v>
      </c>
      <c r="EN9" s="4" t="b">
        <f>IF($DW$9="","",$FY$9)</f>
        <v>0</v>
      </c>
      <c r="EO9" s="208"/>
      <c r="EP9" s="4" t="b">
        <f>IF($DY$9="","",$GA$9)</f>
        <v>0</v>
      </c>
      <c r="EQ9" s="4" t="b">
        <f>IF($DZ$9="","",$GB$9)</f>
        <v>0</v>
      </c>
      <c r="ER9" s="4" t="b">
        <f>IF($EA$9="","",$GC$9)</f>
        <v>0</v>
      </c>
      <c r="ES9" s="4" t="b">
        <f>IF($EB$9="","",$GD$9)</f>
        <v>0</v>
      </c>
      <c r="ET9" s="4" t="b">
        <f>IF($EC$9="","",$GE$9)</f>
        <v>0</v>
      </c>
      <c r="EU9" s="4" t="b">
        <f>IF($ED$9="","",$GF$9)</f>
        <v>0</v>
      </c>
      <c r="EV9" s="4" t="b">
        <f>IF($EE$9="","",$GG$9)</f>
        <v>0</v>
      </c>
      <c r="EW9" s="4" t="b">
        <f>IF($EF$9="","",$GH$9)</f>
        <v>0</v>
      </c>
      <c r="EX9" s="225" t="b">
        <f>IF($EG$9="","",$GI$9)</f>
        <v>0</v>
      </c>
      <c r="EY9" s="230">
        <f>COUNTIF($EI$9:$EX$9,$EH$9)</f>
        <v>0</v>
      </c>
      <c r="FA9" s="130">
        <f t="shared" si="20"/>
        <v>4</v>
      </c>
      <c r="FB9" s="13" t="str">
        <f t="shared" si="20"/>
        <v>Igor Kononov</v>
      </c>
      <c r="FC9" s="129">
        <f t="shared" si="34"/>
        <v>0</v>
      </c>
      <c r="FD9" s="129">
        <f t="shared" si="21"/>
        <v>0</v>
      </c>
      <c r="FE9" s="504">
        <v>0</v>
      </c>
      <c r="FF9" s="129">
        <f t="shared" si="35"/>
        <v>0</v>
      </c>
      <c r="FG9" s="483">
        <f t="shared" si="22"/>
        <v>5.6000000000000004E-7</v>
      </c>
      <c r="FH9" s="483">
        <f t="shared" si="36"/>
        <v>5.6000000000000004E-7</v>
      </c>
      <c r="FI9" s="176">
        <f t="shared" si="37"/>
        <v>5.6000000000000004E-7</v>
      </c>
      <c r="FJ9" s="484">
        <f t="shared" si="23"/>
        <v>5.6000000000000004E-7</v>
      </c>
      <c r="FK9" s="762">
        <f t="shared" si="24"/>
        <v>4</v>
      </c>
      <c r="FL9" s="762">
        <v>7</v>
      </c>
      <c r="FM9" s="762">
        <f t="shared" si="38"/>
        <v>0</v>
      </c>
      <c r="FN9" s="512"/>
      <c r="FO9" s="624" t="str">
        <f t="shared" si="39"/>
        <v>Gunter Bauer</v>
      </c>
      <c r="FP9" s="679">
        <f t="shared" si="42"/>
        <v>0</v>
      </c>
      <c r="FQ9" s="13">
        <f t="shared" si="25"/>
        <v>0</v>
      </c>
      <c r="FS9" s="215">
        <f>$R$8</f>
        <v>4</v>
      </c>
      <c r="FT9" s="205" t="b">
        <f>IF($AQ$14&gt;$AQ$13,$FS$3,IF($AQ$14&lt;$AQ$13,$FS$9))</f>
        <v>0</v>
      </c>
      <c r="FU9" s="4" t="b">
        <f>IF($M$33&gt;$M$32,$FS$4,IF($M$33&lt;$M$32,$FS$9))</f>
        <v>0</v>
      </c>
      <c r="FV9" s="4" t="b">
        <f>IF($AB$28&gt;$AB$30,$FS$5,IF($AB$28&lt;$AB$30,$FS$9))</f>
        <v>0</v>
      </c>
      <c r="FW9" s="4" t="b">
        <f>IF($AQ$12&gt;$AQ$13,$FS$6,IF($AQ$12&lt;$AQ$13,$FS$9))</f>
        <v>0</v>
      </c>
      <c r="FX9" s="4" t="b">
        <f>IF($M$24&gt;$M$25,$FS$7,IF($M$24&lt;$M$25,$FS$9))</f>
        <v>0</v>
      </c>
      <c r="FY9" s="4" t="b">
        <f>IF($M$34&gt;$M$32,$FS$8,IF($M$34&lt;$M$32,$FS$9))</f>
        <v>0</v>
      </c>
      <c r="FZ9" s="208"/>
      <c r="GA9" s="4" t="b">
        <f>IF($AB$23&gt;$AB$20,$FS$9,IF($AB$23&lt;$AB$20,$FS$10))</f>
        <v>0</v>
      </c>
      <c r="GB9" s="4" t="b">
        <f>IF($M$24&gt;$M$27,$FS$9,IF($M$24&lt;$M$27,$FS$11))</f>
        <v>0</v>
      </c>
      <c r="GC9" s="4" t="b">
        <f>IF($AQ$13&gt;$AQ$15,$FS$9,IF($AQ$13&lt;$AQ$15,$FS$12))</f>
        <v>0</v>
      </c>
      <c r="GD9" s="4" t="b">
        <f>IF($M$24&gt;$M$26,$FS$9,IF($M$24&lt;$M$26,$FS$13))</f>
        <v>0</v>
      </c>
      <c r="GE9" s="4" t="b">
        <f>IF($AB$30&gt;$AB$31,$FS$9,IF($AB$30&lt;$AB$31,$FS$14))</f>
        <v>0</v>
      </c>
      <c r="GF9" s="4" t="b">
        <f>IF($AB$30&gt;$AB$29,$FS$9,IF($AB$30&lt;$AB$29,$FS$15))</f>
        <v>0</v>
      </c>
      <c r="GG9" s="4" t="b">
        <f>IF($AB$23&gt;$AB$21,$FS$9,IF($AB$23&lt;$AB$21,$FS$16))</f>
        <v>0</v>
      </c>
      <c r="GH9" s="4" t="b">
        <f>IF($AB$23&gt;$AB$22,$FS$9,IF($AB$23&lt;$AB$22,$FS$16))</f>
        <v>0</v>
      </c>
      <c r="GI9" s="211" t="b">
        <f>IF($M$32&gt;$M$35,$FS$9,IF($M$32&lt;$M$35,$FS$18))</f>
        <v>0</v>
      </c>
      <c r="GK9" s="8">
        <v>7</v>
      </c>
      <c r="GL9" s="205"/>
      <c r="GM9" s="4"/>
      <c r="GN9" s="4"/>
      <c r="GO9" s="4"/>
      <c r="GP9" s="225"/>
      <c r="GQ9" s="230">
        <f t="shared" si="41"/>
        <v>0</v>
      </c>
      <c r="GR9" s="601">
        <f t="shared" si="40"/>
        <v>0</v>
      </c>
      <c r="GX9" s="1179"/>
      <c r="GY9" s="1179"/>
      <c r="GZ9" s="1179"/>
      <c r="HA9" s="1179"/>
      <c r="HH9" s="1179"/>
      <c r="IU9" s="1151" t="s">
        <v>213</v>
      </c>
      <c r="IV9" s="1152"/>
      <c r="IW9" s="1152"/>
      <c r="IX9" s="1152"/>
      <c r="IY9" s="1152"/>
      <c r="IZ9" s="1152"/>
      <c r="JA9" s="1152"/>
      <c r="JB9" s="1152"/>
      <c r="JC9" s="1152"/>
      <c r="JD9" s="1152"/>
      <c r="JE9" s="1152"/>
      <c r="JF9" s="1152"/>
      <c r="JG9" s="1152"/>
      <c r="JH9" s="1153"/>
      <c r="JI9"/>
      <c r="JJ9"/>
    </row>
    <row r="10" spans="1:325" ht="12.75" customHeight="1" thickBot="1">
      <c r="I10" s="763"/>
      <c r="J10" s="763"/>
      <c r="K10" s="763"/>
      <c r="L10" s="763"/>
      <c r="M10" s="763"/>
      <c r="N10" s="763"/>
      <c r="O10" s="324"/>
      <c r="P10" s="298"/>
      <c r="Q10" s="343">
        <v>17</v>
      </c>
      <c r="R10" s="309">
        <f>VLOOKUP(S10,Draw!$B$3:$C$42,2,FALSE)</f>
        <v>17</v>
      </c>
      <c r="S10" s="752" t="str">
        <f>Draw!H40</f>
        <v>Simon Reitsma</v>
      </c>
      <c r="T10" s="1003"/>
      <c r="U10" s="538"/>
      <c r="V10" s="539"/>
      <c r="W10" s="313" t="str">
        <f>IF($HB$12&lt;W1,"",VLOOKUP(W$1,$HA$12:$HC$91,3,FALSE))</f>
        <v/>
      </c>
      <c r="X10" s="314" t="str">
        <f>IF($HB$12&lt;X1,"",VLOOKUP(X$1,$HA$12:$HC$91,3,FALSE))</f>
        <v/>
      </c>
      <c r="Y10" s="314" t="str">
        <f>IF($HB$12&lt;Y1,"",VLOOKUP(Y$1,$HA$12:$HC$91,3,FALSE))</f>
        <v/>
      </c>
      <c r="Z10" s="314" t="str">
        <f>IF($HB$12&lt;Z1,"",VLOOKUP(Z$1,$HA$12:$HC$91,3,FALSE))</f>
        <v/>
      </c>
      <c r="AA10" s="315" t="str">
        <f>IF($HB$12&lt;AA1,"",VLOOKUP(AA$1,$HA$12:$HC$91,3,FALSE))</f>
        <v/>
      </c>
      <c r="AB10" s="310" t="str">
        <f t="shared" si="2"/>
        <v/>
      </c>
      <c r="AC10" s="311" t="str">
        <f t="shared" si="0"/>
        <v/>
      </c>
      <c r="AD10" s="269"/>
      <c r="AE10" s="298"/>
      <c r="AF10" s="343">
        <v>18</v>
      </c>
      <c r="AG10" s="309">
        <f>VLOOKUP(AH10,Draw!$B$3:$C$42,2,FALSE)</f>
        <v>18</v>
      </c>
      <c r="AH10" s="752" t="str">
        <f>Draw!H41</f>
        <v>Max Niedermaier</v>
      </c>
      <c r="AI10" s="1003"/>
      <c r="AJ10" s="538"/>
      <c r="AK10" s="539"/>
      <c r="AL10" s="313" t="str">
        <f>IF($HL$12&lt;AL1,"",VLOOKUP(AL$1,$HK$12:$HM$91,3,FALSE))</f>
        <v/>
      </c>
      <c r="AM10" s="314" t="str">
        <f>IF($HL$12&lt;AM1,"",VLOOKUP(AM$1,$HK$12:$HM$91,3,FALSE))</f>
        <v/>
      </c>
      <c r="AN10" s="314" t="str">
        <f>IF($HL$12&lt;AN1,"",VLOOKUP(AN$1,$HK$12:$HM$91,3,FALSE))</f>
        <v/>
      </c>
      <c r="AO10" s="314" t="str">
        <f>IF($HL$12&lt;AO1,"",VLOOKUP(AO$1,$HK$12:$HM$91,3,FALSE))</f>
        <v/>
      </c>
      <c r="AP10" s="315" t="str">
        <f>IF($HL$12&lt;AP1,"",VLOOKUP(AP$1,$HK$12:$HM$91,3,FALSE))</f>
        <v/>
      </c>
      <c r="AQ10" s="310" t="str">
        <f t="shared" si="1"/>
        <v/>
      </c>
      <c r="AR10" s="311" t="str">
        <f t="shared" si="3"/>
        <v/>
      </c>
      <c r="AT10" s="1134" t="s">
        <v>32</v>
      </c>
      <c r="AU10" s="1135"/>
      <c r="AV10" s="1135"/>
      <c r="AW10" s="1135"/>
      <c r="AX10" s="1135"/>
      <c r="AY10" s="1135"/>
      <c r="AZ10" s="1135"/>
      <c r="BA10" s="1135"/>
      <c r="BB10" s="1136"/>
      <c r="BD10" s="1131"/>
      <c r="BE10" s="1132"/>
      <c r="BF10" s="1133"/>
      <c r="BG10"/>
      <c r="BH10" s="391"/>
      <c r="BI10" s="133"/>
      <c r="BK10" s="1120"/>
      <c r="BY10" s="8"/>
      <c r="CA10" s="762"/>
      <c r="CC10" s="110">
        <f t="shared" si="4"/>
        <v>1</v>
      </c>
      <c r="CD10" s="111" t="str">
        <f t="shared" si="26"/>
        <v>=</v>
      </c>
      <c r="CE10" s="112">
        <v>8</v>
      </c>
      <c r="CF10" s="122">
        <f t="shared" si="5"/>
        <v>14</v>
      </c>
      <c r="CG10" s="127"/>
      <c r="CH10" s="113" t="str">
        <f t="shared" si="27"/>
        <v>Stefan Pletschacher</v>
      </c>
      <c r="CI10" s="279">
        <f t="shared" si="6"/>
        <v>0</v>
      </c>
      <c r="CJ10" s="114" t="str">
        <f t="shared" si="7"/>
        <v/>
      </c>
      <c r="CK10" s="115" t="str">
        <f t="shared" si="7"/>
        <v/>
      </c>
      <c r="CL10" s="115" t="str">
        <f t="shared" si="7"/>
        <v/>
      </c>
      <c r="CM10" s="115" t="str">
        <f t="shared" si="7"/>
        <v/>
      </c>
      <c r="CN10" s="116" t="str">
        <f t="shared" si="7"/>
        <v/>
      </c>
      <c r="CO10" s="117">
        <f t="shared" si="28"/>
        <v>0</v>
      </c>
      <c r="CP10" s="118"/>
      <c r="CQ10" s="249"/>
      <c r="CR10" s="27">
        <f t="shared" si="8"/>
        <v>14</v>
      </c>
      <c r="CS10" s="258">
        <f>RANK(DP10,$DP$3:$DP$20)+COUNTIF(DP$3:DP10,DP10)-1</f>
        <v>7</v>
      </c>
      <c r="CT10" s="32">
        <f t="shared" si="9"/>
        <v>8</v>
      </c>
      <c r="CU10" s="423">
        <f>VLOOKUP(CW10,Draw!$B$3:$C$42,2,FALSE)</f>
        <v>7</v>
      </c>
      <c r="CV10" s="185">
        <f>VLOOKUP(CW10,Draw!$B$3:$C$42,2,FALSE)</f>
        <v>7</v>
      </c>
      <c r="CW10" s="33" t="str">
        <f t="shared" si="10"/>
        <v>Gunter Bauer</v>
      </c>
      <c r="CX10" s="4" t="str">
        <f t="shared" si="11"/>
        <v/>
      </c>
      <c r="CY10" s="4" t="str">
        <f t="shared" si="11"/>
        <v/>
      </c>
      <c r="CZ10" s="4" t="str">
        <f t="shared" si="11"/>
        <v/>
      </c>
      <c r="DA10" s="4" t="str">
        <f t="shared" si="11"/>
        <v/>
      </c>
      <c r="DB10" s="34" t="str">
        <f t="shared" si="11"/>
        <v/>
      </c>
      <c r="DC10" s="250">
        <f t="shared" si="12"/>
        <v>0</v>
      </c>
      <c r="DD10" s="243">
        <f t="shared" si="13"/>
        <v>0</v>
      </c>
      <c r="DE10" s="236">
        <f t="shared" si="29"/>
        <v>0</v>
      </c>
      <c r="DF10" s="232">
        <f t="shared" si="14"/>
        <v>0</v>
      </c>
      <c r="DG10" s="234">
        <f t="shared" si="30"/>
        <v>0</v>
      </c>
      <c r="DH10" s="232">
        <f t="shared" si="15"/>
        <v>0</v>
      </c>
      <c r="DI10" s="41">
        <f t="shared" si="31"/>
        <v>0</v>
      </c>
      <c r="DJ10" s="271">
        <f t="shared" si="16"/>
        <v>0</v>
      </c>
      <c r="DK10" s="602">
        <f t="shared" si="32"/>
        <v>0</v>
      </c>
      <c r="DL10" s="281">
        <f t="shared" si="17"/>
        <v>0</v>
      </c>
      <c r="DM10" s="643">
        <f t="shared" si="43"/>
        <v>5.3000000000000001E-7</v>
      </c>
      <c r="DN10" s="284">
        <f t="shared" si="18"/>
        <v>0</v>
      </c>
      <c r="DO10" s="284">
        <f t="shared" si="19"/>
        <v>0</v>
      </c>
      <c r="DP10" s="647">
        <f t="shared" si="33"/>
        <v>5.3000000000000001E-7</v>
      </c>
      <c r="DQ10" s="594"/>
      <c r="DR10" s="205">
        <f>IF($DN$10=$DN$3,$CV$10,"")</f>
        <v>7</v>
      </c>
      <c r="DS10" s="4">
        <f>IF($DN$10=$DN$4,$CV$10,"")</f>
        <v>7</v>
      </c>
      <c r="DT10" s="4">
        <f>IF($DN$10=$DN$5,$CV$10,"")</f>
        <v>7</v>
      </c>
      <c r="DU10" s="4">
        <f>IF($DN$10=$DN$6,$CV$10,"")</f>
        <v>7</v>
      </c>
      <c r="DV10" s="4">
        <f>IF($DN$10=$DN$7,$CV$10,"")</f>
        <v>7</v>
      </c>
      <c r="DW10" s="4">
        <f>IF($DN$10=$DN$8,$CV$10,"")</f>
        <v>7</v>
      </c>
      <c r="DX10" s="4">
        <f>IF($DN$10=$DN$9,$CV$10,"")</f>
        <v>7</v>
      </c>
      <c r="DY10" s="208"/>
      <c r="DZ10" s="4">
        <f>IF($DN$10=$DN$11,$CV$10,"")</f>
        <v>7</v>
      </c>
      <c r="EA10" s="4">
        <f>IF($DN$10=$DN$12,$CV$10,"")</f>
        <v>7</v>
      </c>
      <c r="EB10" s="4">
        <f>IF($DN$10=$DN$13,$CV$10,"")</f>
        <v>7</v>
      </c>
      <c r="EC10" s="4">
        <f>IF($DN$10=$DN$14,$CV$10,"")</f>
        <v>7</v>
      </c>
      <c r="ED10" s="4">
        <f>IF($DN$10=$DN$15,$CV$10,"")</f>
        <v>7</v>
      </c>
      <c r="EE10" s="4">
        <f>IF($DN$10=$DN$16,$CV$10,"")</f>
        <v>7</v>
      </c>
      <c r="EF10" s="4">
        <f>IF($DN$10=$DN$17,$CV$10,"")</f>
        <v>7</v>
      </c>
      <c r="EG10" s="225">
        <f>IF($DN$10=$DN$18,$CV$10,"")</f>
        <v>7</v>
      </c>
      <c r="EH10" s="215">
        <f>$R$9</f>
        <v>7</v>
      </c>
      <c r="EI10" s="205" t="b">
        <f>IF($DR$10="","",$FT$10)</f>
        <v>0</v>
      </c>
      <c r="EJ10" s="4" t="b">
        <f>IF($DS$10="","",$FU$10)</f>
        <v>0</v>
      </c>
      <c r="EK10" s="4" t="b">
        <f>IF($DT$10="","",$FV$10)</f>
        <v>0</v>
      </c>
      <c r="EL10" s="4" t="b">
        <f>IF($DU$10="","",$FW$10)</f>
        <v>0</v>
      </c>
      <c r="EM10" s="4" t="b">
        <f>IF($DV$10="","",$FX$10)</f>
        <v>0</v>
      </c>
      <c r="EN10" s="4" t="b">
        <f>IF($DW$10="","",$FY$10)</f>
        <v>0</v>
      </c>
      <c r="EO10" s="4" t="b">
        <f>IF($DX$10="","",$FZ$10)</f>
        <v>0</v>
      </c>
      <c r="EP10" s="208"/>
      <c r="EQ10" s="4" t="b">
        <f>IF($DZ$10="","",$GB$10)</f>
        <v>0</v>
      </c>
      <c r="ER10" s="4" t="b">
        <f>IF($EA$10="","",$GC$10)</f>
        <v>0</v>
      </c>
      <c r="ES10" s="4" t="b">
        <f>IF($EB$10="","",$GD$10)</f>
        <v>0</v>
      </c>
      <c r="ET10" s="4" t="b">
        <f>IF($EC$10="","",$GE$10)</f>
        <v>0</v>
      </c>
      <c r="EU10" s="4" t="b">
        <f>IF($ED$10="","",$GF$10)</f>
        <v>0</v>
      </c>
      <c r="EV10" s="4" t="b">
        <f>IF($EE$10="","",$GG$10)</f>
        <v>0</v>
      </c>
      <c r="EW10" s="4" t="b">
        <f>IF($EF$10="","",$GH$10)</f>
        <v>0</v>
      </c>
      <c r="EX10" s="225" t="b">
        <f>IF($EG$10="","",$GI$10)</f>
        <v>0</v>
      </c>
      <c r="EY10" s="230">
        <f>COUNTIF($EI$10:$EX$10,$EH$10)</f>
        <v>0</v>
      </c>
      <c r="FA10" s="130">
        <f t="shared" si="20"/>
        <v>7</v>
      </c>
      <c r="FB10" s="13" t="str">
        <f t="shared" si="20"/>
        <v>Gunter Bauer</v>
      </c>
      <c r="FC10" s="129">
        <f t="shared" si="34"/>
        <v>0</v>
      </c>
      <c r="FD10" s="129">
        <f t="shared" si="21"/>
        <v>0</v>
      </c>
      <c r="FE10" s="504">
        <v>0</v>
      </c>
      <c r="FF10" s="129">
        <f t="shared" si="35"/>
        <v>0</v>
      </c>
      <c r="FG10" s="483">
        <f t="shared" si="22"/>
        <v>5.3000000000000001E-7</v>
      </c>
      <c r="FH10" s="483">
        <f t="shared" si="36"/>
        <v>5.3000000000000001E-7</v>
      </c>
      <c r="FI10" s="176">
        <f t="shared" si="37"/>
        <v>5.3000000000000001E-7</v>
      </c>
      <c r="FJ10" s="484">
        <f t="shared" si="23"/>
        <v>5.3000000000000001E-7</v>
      </c>
      <c r="FK10" s="762">
        <f t="shared" si="24"/>
        <v>7</v>
      </c>
      <c r="FL10" s="762">
        <v>8</v>
      </c>
      <c r="FM10" s="762">
        <f t="shared" si="38"/>
        <v>0</v>
      </c>
      <c r="FN10" s="512"/>
      <c r="FO10" s="420" t="str">
        <f t="shared" si="39"/>
        <v>Stefan Pletschacher</v>
      </c>
      <c r="FP10" s="680">
        <f t="shared" si="42"/>
        <v>0</v>
      </c>
      <c r="FQ10" s="13">
        <f t="shared" si="25"/>
        <v>0</v>
      </c>
      <c r="FS10" s="215">
        <f>$R$9</f>
        <v>7</v>
      </c>
      <c r="FT10" s="205" t="b">
        <f>IF($M$36&gt;$M$39,$FS$3,IF($M$36&lt;$M$39,$FS$10))</f>
        <v>0</v>
      </c>
      <c r="FU10" s="4" t="b">
        <f>IF($AB$38&gt;$AB$37,$FS$4,IF($AB$38&lt;$AB$37,$FS$10))</f>
        <v>0</v>
      </c>
      <c r="FV10" s="4" t="b">
        <f>IF($M$12&gt;$M$14,$FS$5,IF($M$12&lt;$M$14,$FS$10))</f>
        <v>0</v>
      </c>
      <c r="FW10" s="4" t="b">
        <f>IF($AB$39&gt;$AB$37,$FS$6,IF($AB$39&lt;$AB$37,$FS$10))</f>
        <v>0</v>
      </c>
      <c r="FX10" s="4" t="b">
        <f>IF($M$37&gt;$M$39,$FS$7,IF($M$37&lt;$M$39,$FS$10))</f>
        <v>0</v>
      </c>
      <c r="FY10" s="4" t="b">
        <f>IF($M$13&gt;$M$14,$FS$8,IF($M$13&lt;$M$14,$FS$10))</f>
        <v>0</v>
      </c>
      <c r="FZ10" s="4" t="b">
        <f>IF($AB$23&gt;$AB$20,$FS$9,IF($AB$23&lt;$AB$20,$FS$10))</f>
        <v>0</v>
      </c>
      <c r="GA10" s="208"/>
      <c r="GB10" s="4" t="b">
        <f>IF($AQ$20&gt;$AQ$22,$FS$10,IF($AQ$20&lt;$AQ$22,$FS$11))</f>
        <v>0</v>
      </c>
      <c r="GC10" s="4" t="b">
        <f>IF($M$14&gt;$M$15,$FS$10,IF($M$14&lt;$M$15,$FS$12))</f>
        <v>0</v>
      </c>
      <c r="GD10" s="4" t="b">
        <f>IF($AB$37&gt;$AB$36,$FS$10,IF($AB$37&lt;$AB$36,$FS$13))</f>
        <v>0</v>
      </c>
      <c r="GE10" s="4" t="b">
        <f>IF($M$39&gt;$M$38,$FS$10,IF($M$39&lt;$M$38,$FS$14))</f>
        <v>0</v>
      </c>
      <c r="GF10" s="4" t="b">
        <f>IF($AQ$20&gt;$AQ$21,$FS$10,IF($AQ$20&lt;$AQ$21,$FS$15))</f>
        <v>0</v>
      </c>
      <c r="GG10" s="4" t="b">
        <f>IF($AB$20&gt;$AB$21,$FS$10,IF($AB$20&lt;$AB$21,$FS$16))</f>
        <v>0</v>
      </c>
      <c r="GH10" s="4" t="b">
        <f>IF($AB$20&gt;$AB$22,$FS$10,IF($AB$20&lt;$AB$22,$FS$17))</f>
        <v>0</v>
      </c>
      <c r="GI10" s="225" t="b">
        <f>IF($AQ$20&gt;$AQ$23,$FS$10,IF($AQ$20&lt;$AQ$23,$FS$18))</f>
        <v>0</v>
      </c>
      <c r="GK10" s="8">
        <v>8</v>
      </c>
      <c r="GL10" s="206"/>
      <c r="GM10" s="38"/>
      <c r="GN10" s="38"/>
      <c r="GO10" s="38"/>
      <c r="GP10" s="295"/>
      <c r="GQ10" s="231">
        <f t="shared" si="41"/>
        <v>0</v>
      </c>
      <c r="GR10" s="601">
        <f t="shared" si="40"/>
        <v>0</v>
      </c>
      <c r="GX10" s="1179"/>
      <c r="GY10" s="1179"/>
      <c r="GZ10" s="1179"/>
      <c r="HA10" s="1179"/>
      <c r="HH10" s="1179"/>
      <c r="HO10" s="1186" t="s">
        <v>78</v>
      </c>
      <c r="HP10" s="764"/>
      <c r="HQ10" s="764"/>
      <c r="HR10" s="764"/>
      <c r="HS10" s="764"/>
      <c r="HT10" s="764"/>
      <c r="HV10" s="1184" t="s">
        <v>3</v>
      </c>
      <c r="HY10" s="1186" t="s">
        <v>88</v>
      </c>
      <c r="HZ10" s="764"/>
      <c r="IA10" s="764"/>
      <c r="IB10" s="764"/>
      <c r="IC10" s="764"/>
      <c r="ID10" s="1184" t="s">
        <v>91</v>
      </c>
      <c r="IF10" s="1184" t="s">
        <v>3</v>
      </c>
      <c r="II10" s="1186" t="s">
        <v>88</v>
      </c>
      <c r="IJ10" s="764"/>
      <c r="IK10" s="764"/>
      <c r="IL10" s="764"/>
      <c r="IM10" s="764"/>
      <c r="IN10" s="1184" t="s">
        <v>91</v>
      </c>
      <c r="IP10" s="1184" t="s">
        <v>3</v>
      </c>
      <c r="IU10" s="1154"/>
      <c r="IV10" s="1155"/>
      <c r="IW10" s="1155"/>
      <c r="IX10" s="1155"/>
      <c r="IY10" s="1155"/>
      <c r="IZ10" s="1155"/>
      <c r="JA10" s="1155"/>
      <c r="JB10" s="1155"/>
      <c r="JC10" s="1155"/>
      <c r="JD10" s="1155"/>
      <c r="JE10" s="1155"/>
      <c r="JF10" s="1155"/>
      <c r="JG10" s="1155"/>
      <c r="JH10" s="1156"/>
      <c r="JI10"/>
      <c r="JJ10"/>
      <c r="JL10" s="762">
        <f>MAX(JL12:JL91)</f>
        <v>0</v>
      </c>
      <c r="JO10" s="762">
        <f>MAX(JO12:JO91)</f>
        <v>0</v>
      </c>
      <c r="JR10" s="762">
        <f>MAX(JR12:JR91)</f>
        <v>0</v>
      </c>
      <c r="JU10" s="762">
        <f>MAX(JU12:JU91)</f>
        <v>0</v>
      </c>
      <c r="JX10" s="762">
        <f>MAX(JX12:JX91)</f>
        <v>0</v>
      </c>
      <c r="KA10" s="762">
        <f>MAX(KA12:KA91)</f>
        <v>0</v>
      </c>
      <c r="KD10" s="762">
        <f>MAX(KD12:KD91)</f>
        <v>0</v>
      </c>
      <c r="KG10" s="762">
        <f>MAX(KG12:KG91)</f>
        <v>0</v>
      </c>
      <c r="KJ10" s="762">
        <f>MAX(KJ12:KJ91)</f>
        <v>0</v>
      </c>
      <c r="KM10" s="762">
        <f>MAX(KM12:KM91)</f>
        <v>0</v>
      </c>
      <c r="KP10" s="762">
        <f>MAX(KP12:KP91)</f>
        <v>0</v>
      </c>
      <c r="KS10" s="762">
        <f>MAX(KS12:KS91)</f>
        <v>0</v>
      </c>
      <c r="KV10" s="762">
        <f>MAX(KV12:KV91)</f>
        <v>0</v>
      </c>
      <c r="KY10" s="762">
        <f>MAX(KY12:KY91)</f>
        <v>0</v>
      </c>
      <c r="LB10" s="762">
        <f>MAX(LB12:LB91)</f>
        <v>0</v>
      </c>
      <c r="LE10" s="762">
        <f>MAX(LE12:LE91)</f>
        <v>0</v>
      </c>
    </row>
    <row r="11" spans="1:325" ht="12.75" customHeight="1" thickBot="1">
      <c r="A11" s="17" t="s">
        <v>1</v>
      </c>
      <c r="B11" s="513"/>
      <c r="C11" s="334" t="s">
        <v>21</v>
      </c>
      <c r="D11" s="333" t="s">
        <v>2</v>
      </c>
      <c r="E11" s="1009" t="s">
        <v>313</v>
      </c>
      <c r="F11" s="1008" t="s">
        <v>313</v>
      </c>
      <c r="G11" s="1226" t="s">
        <v>81</v>
      </c>
      <c r="H11" s="1233"/>
      <c r="I11" s="1233"/>
      <c r="J11" s="1233"/>
      <c r="K11" s="1224"/>
      <c r="L11" s="506" t="s">
        <v>50</v>
      </c>
      <c r="M11" s="767" t="s">
        <v>0</v>
      </c>
      <c r="N11" s="267" t="s">
        <v>12</v>
      </c>
      <c r="P11" s="17" t="s">
        <v>1</v>
      </c>
      <c r="Q11" s="513"/>
      <c r="R11" s="105"/>
      <c r="S11" s="9" t="s">
        <v>2</v>
      </c>
      <c r="T11" s="1009" t="s">
        <v>313</v>
      </c>
      <c r="U11" s="1008" t="s">
        <v>313</v>
      </c>
      <c r="V11" s="1226" t="s">
        <v>81</v>
      </c>
      <c r="W11" s="1233"/>
      <c r="X11" s="1233"/>
      <c r="Y11" s="1233"/>
      <c r="Z11" s="1224"/>
      <c r="AA11" s="506" t="s">
        <v>50</v>
      </c>
      <c r="AB11" s="767" t="s">
        <v>0</v>
      </c>
      <c r="AC11" s="267" t="s">
        <v>12</v>
      </c>
      <c r="AE11" s="17" t="s">
        <v>1</v>
      </c>
      <c r="AF11" s="513"/>
      <c r="AG11" s="105"/>
      <c r="AH11" s="9" t="s">
        <v>2</v>
      </c>
      <c r="AI11" s="1009" t="s">
        <v>313</v>
      </c>
      <c r="AJ11" s="1008" t="s">
        <v>313</v>
      </c>
      <c r="AK11" s="1226" t="s">
        <v>81</v>
      </c>
      <c r="AL11" s="1233"/>
      <c r="AM11" s="1233"/>
      <c r="AN11" s="1233"/>
      <c r="AO11" s="1224"/>
      <c r="AP11" s="506" t="s">
        <v>50</v>
      </c>
      <c r="AQ11" s="19" t="s">
        <v>0</v>
      </c>
      <c r="AR11" s="267" t="s">
        <v>12</v>
      </c>
      <c r="AT11" s="1065" t="s">
        <v>3</v>
      </c>
      <c r="AU11" s="1067"/>
      <c r="AV11" s="766" t="s">
        <v>2</v>
      </c>
      <c r="AW11" s="10">
        <v>1</v>
      </c>
      <c r="AX11" s="11">
        <v>2</v>
      </c>
      <c r="AY11" s="11">
        <v>3</v>
      </c>
      <c r="AZ11" s="11">
        <v>4</v>
      </c>
      <c r="BA11" s="11">
        <v>5</v>
      </c>
      <c r="BB11" s="99" t="s">
        <v>0</v>
      </c>
      <c r="BD11" s="142" t="s">
        <v>4</v>
      </c>
      <c r="BE11" s="143" t="s">
        <v>2</v>
      </c>
      <c r="BF11" s="144" t="s">
        <v>0</v>
      </c>
      <c r="BG11"/>
      <c r="BH11" s="391"/>
      <c r="BI11" s="8" t="s">
        <v>331</v>
      </c>
      <c r="BJ11" s="762" t="s">
        <v>158</v>
      </c>
      <c r="BK11" s="1121"/>
      <c r="BL11" s="762" t="s">
        <v>8</v>
      </c>
      <c r="BM11" s="762" t="s">
        <v>9</v>
      </c>
      <c r="BN11" s="762" t="s">
        <v>10</v>
      </c>
      <c r="BO11" s="762" t="s">
        <v>11</v>
      </c>
      <c r="BP11" s="762"/>
      <c r="BQ11" s="762" t="s">
        <v>8</v>
      </c>
      <c r="BR11" s="762" t="s">
        <v>9</v>
      </c>
      <c r="BS11" s="762" t="s">
        <v>10</v>
      </c>
      <c r="BT11" s="762" t="s">
        <v>11</v>
      </c>
      <c r="BU11" s="762"/>
      <c r="BV11" s="762" t="s">
        <v>8</v>
      </c>
      <c r="BW11" s="762" t="s">
        <v>9</v>
      </c>
      <c r="BX11" s="762" t="s">
        <v>10</v>
      </c>
      <c r="BY11" s="762" t="s">
        <v>11</v>
      </c>
      <c r="BZ11" s="762" t="s">
        <v>2</v>
      </c>
      <c r="CA11" s="762" t="s">
        <v>13</v>
      </c>
      <c r="CC11" s="47">
        <f t="shared" si="4"/>
        <v>1</v>
      </c>
      <c r="CD11" s="48" t="str">
        <f t="shared" si="26"/>
        <v>=</v>
      </c>
      <c r="CE11" s="22">
        <v>9</v>
      </c>
      <c r="CF11" s="121">
        <f t="shared" si="5"/>
        <v>1</v>
      </c>
      <c r="CG11" s="126"/>
      <c r="CH11" s="75" t="str">
        <f t="shared" si="27"/>
        <v>Per-Anders Lindstrom</v>
      </c>
      <c r="CI11" s="278">
        <f t="shared" si="6"/>
        <v>0</v>
      </c>
      <c r="CJ11" s="85" t="str">
        <f t="shared" si="7"/>
        <v/>
      </c>
      <c r="CK11" s="70" t="str">
        <f t="shared" si="7"/>
        <v/>
      </c>
      <c r="CL11" s="70" t="str">
        <f t="shared" si="7"/>
        <v/>
      </c>
      <c r="CM11" s="70" t="str">
        <f t="shared" si="7"/>
        <v/>
      </c>
      <c r="CN11" s="86" t="str">
        <f t="shared" si="7"/>
        <v/>
      </c>
      <c r="CO11" s="79">
        <f t="shared" si="28"/>
        <v>0</v>
      </c>
      <c r="CP11" s="54"/>
      <c r="CQ11" s="249"/>
      <c r="CR11" s="27">
        <f t="shared" si="8"/>
        <v>1</v>
      </c>
      <c r="CS11" s="258">
        <f>RANK(DP11,$DP$3:$DP$20)+COUNTIF(DP$3:DP11,DP11)-1</f>
        <v>1</v>
      </c>
      <c r="CT11" s="32">
        <f t="shared" ref="CT11:CT18" si="44">AF2</f>
        <v>9</v>
      </c>
      <c r="CU11" s="424">
        <f>VLOOKUP(CW11,Draw!$B$3:$C$42,2,FALSE)</f>
        <v>1</v>
      </c>
      <c r="CV11" s="186">
        <f>VLOOKUP(CW11,Draw!$B$3:$C$42,2,FALSE)</f>
        <v>1</v>
      </c>
      <c r="CW11" s="36" t="str">
        <f t="shared" ref="CW11:CW18" si="45">AH2</f>
        <v>Daniil Ivanov</v>
      </c>
      <c r="CX11" s="4" t="str">
        <f t="shared" ref="CX11:DB18" si="46">AL2</f>
        <v/>
      </c>
      <c r="CY11" s="4" t="str">
        <f t="shared" si="46"/>
        <v/>
      </c>
      <c r="CZ11" s="4" t="str">
        <f t="shared" si="46"/>
        <v/>
      </c>
      <c r="DA11" s="4" t="str">
        <f t="shared" si="46"/>
        <v/>
      </c>
      <c r="DB11" s="34" t="str">
        <f t="shared" si="46"/>
        <v/>
      </c>
      <c r="DC11" s="250">
        <f t="shared" si="12"/>
        <v>0</v>
      </c>
      <c r="DD11" s="243">
        <f t="shared" si="13"/>
        <v>0</v>
      </c>
      <c r="DE11" s="236">
        <f t="shared" si="29"/>
        <v>0</v>
      </c>
      <c r="DF11" s="232">
        <f t="shared" si="14"/>
        <v>0</v>
      </c>
      <c r="DG11" s="234">
        <f t="shared" si="30"/>
        <v>0</v>
      </c>
      <c r="DH11" s="232">
        <f t="shared" si="15"/>
        <v>0</v>
      </c>
      <c r="DI11" s="41">
        <f t="shared" si="31"/>
        <v>0</v>
      </c>
      <c r="DJ11" s="271">
        <f t="shared" si="16"/>
        <v>0</v>
      </c>
      <c r="DK11" s="602">
        <f t="shared" si="32"/>
        <v>0</v>
      </c>
      <c r="DL11" s="281">
        <f t="shared" si="17"/>
        <v>0</v>
      </c>
      <c r="DM11" s="644">
        <f t="shared" si="43"/>
        <v>5.8999999999999996E-7</v>
      </c>
      <c r="DN11" s="285">
        <f t="shared" si="18"/>
        <v>0</v>
      </c>
      <c r="DO11" s="675">
        <f t="shared" si="19"/>
        <v>0</v>
      </c>
      <c r="DP11" s="648">
        <f t="shared" si="33"/>
        <v>5.8999999999999996E-7</v>
      </c>
      <c r="DQ11" s="595"/>
      <c r="DR11" s="205">
        <f>IF($DN$11=$DN$3,$CV$11,"")</f>
        <v>1</v>
      </c>
      <c r="DS11" s="4">
        <f>IF($DN$11=$DN$4,$CV$11,"")</f>
        <v>1</v>
      </c>
      <c r="DT11" s="4">
        <f>IF($DN$11=$DN$5,$CV$11,"")</f>
        <v>1</v>
      </c>
      <c r="DU11" s="4">
        <f>IF($DN$11=$DN$6,$CV$11,"")</f>
        <v>1</v>
      </c>
      <c r="DV11" s="4">
        <f>IF($DN$11=$DN$7,$CV$11,"")</f>
        <v>1</v>
      </c>
      <c r="DW11" s="4">
        <f>IF($DN$11=$DN$8,$CV$11,"")</f>
        <v>1</v>
      </c>
      <c r="DX11" s="4">
        <f>IF($DN$11=$DN$9,$CV$11,"")</f>
        <v>1</v>
      </c>
      <c r="DY11" s="4">
        <f>IF($DN$11=$DN$10,$CV$11,"")</f>
        <v>1</v>
      </c>
      <c r="DZ11" s="208"/>
      <c r="EA11" s="4">
        <f>IF($DN$11=$DN$12,$CV$11,"")</f>
        <v>1</v>
      </c>
      <c r="EB11" s="4">
        <f>IF($DN$11=$DN$13,$CV$11,"")</f>
        <v>1</v>
      </c>
      <c r="EC11" s="4">
        <f>IF($DN$11=$DN$14,$CV$11,"")</f>
        <v>1</v>
      </c>
      <c r="ED11" s="4">
        <f>IF($DN$11=$DN$15,$CV$11,"")</f>
        <v>1</v>
      </c>
      <c r="EE11" s="4">
        <f>IF($DN$11=$DN$16,$CV$11,"")</f>
        <v>1</v>
      </c>
      <c r="EF11" s="4">
        <f>IF($DN$11=$DN$17,$CV$11,"")</f>
        <v>1</v>
      </c>
      <c r="EG11" s="225">
        <f>IF($DN$11=$DN$18,$CV$11,"")</f>
        <v>1</v>
      </c>
      <c r="EH11" s="215">
        <f>$AG$2</f>
        <v>1</v>
      </c>
      <c r="EI11" s="205" t="b">
        <f>IF($DR$11="","",$FT$11)</f>
        <v>0</v>
      </c>
      <c r="EJ11" s="4" t="b">
        <f>IF($DS$11="","",$FU$11)</f>
        <v>0</v>
      </c>
      <c r="EK11" s="4" t="b">
        <f>IF($DT$11="","",$FV$11)</f>
        <v>0</v>
      </c>
      <c r="EL11" s="4" t="b">
        <f>IF($DU$11="","",$FW$11)</f>
        <v>0</v>
      </c>
      <c r="EM11" s="4" t="b">
        <f>IF($DV$11="","",$FX$11)</f>
        <v>0</v>
      </c>
      <c r="EN11" s="4" t="b">
        <f>IF($DW$11="","",$FY$11)</f>
        <v>0</v>
      </c>
      <c r="EO11" s="4" t="b">
        <f>IF($DX$11="","",$FZ$11)</f>
        <v>0</v>
      </c>
      <c r="EP11" s="4" t="b">
        <f>IF($DY$11="","",$GA$11)</f>
        <v>0</v>
      </c>
      <c r="EQ11" s="208"/>
      <c r="ER11" s="4" t="b">
        <f>IF($EA$11="","",$GC$11)</f>
        <v>0</v>
      </c>
      <c r="ES11" s="4" t="b">
        <f>IF($EB$11="","",$GD$11)</f>
        <v>0</v>
      </c>
      <c r="ET11" s="4" t="b">
        <f>IF($EC$11="","",$GE$11)</f>
        <v>0</v>
      </c>
      <c r="EU11" s="4" t="b">
        <f>IF($ED$11="","",$GF$11)</f>
        <v>0</v>
      </c>
      <c r="EV11" s="4" t="b">
        <f>IF($EE$11="","",$GG$11)</f>
        <v>0</v>
      </c>
      <c r="EW11" s="4" t="b">
        <f>IF($EF$11="","",$GH$11)</f>
        <v>0</v>
      </c>
      <c r="EX11" s="225" t="b">
        <f>IF($EG$11="","",$GI$11)</f>
        <v>0</v>
      </c>
      <c r="EY11" s="230">
        <f>COUNTIF($EI$11:$EX$11,$EH$11)</f>
        <v>0</v>
      </c>
      <c r="FA11" s="130">
        <f t="shared" si="20"/>
        <v>1</v>
      </c>
      <c r="FB11" s="13" t="str">
        <f t="shared" si="20"/>
        <v>Daniil Ivanov</v>
      </c>
      <c r="FC11" s="129">
        <f t="shared" si="34"/>
        <v>0</v>
      </c>
      <c r="FD11" s="129">
        <f t="shared" si="21"/>
        <v>0</v>
      </c>
      <c r="FE11" s="504">
        <v>0</v>
      </c>
      <c r="FF11" s="129">
        <f t="shared" si="35"/>
        <v>0</v>
      </c>
      <c r="FG11" s="483">
        <f t="shared" si="22"/>
        <v>5.8999999999999996E-7</v>
      </c>
      <c r="FH11" s="483">
        <f t="shared" si="36"/>
        <v>5.8999999999999996E-7</v>
      </c>
      <c r="FI11" s="176">
        <f t="shared" si="37"/>
        <v>5.8999999999999996E-7</v>
      </c>
      <c r="FJ11" s="484">
        <f t="shared" si="23"/>
        <v>5.8999999999999996E-7</v>
      </c>
      <c r="FK11" s="762">
        <f t="shared" si="24"/>
        <v>1</v>
      </c>
      <c r="FL11" s="762">
        <v>9</v>
      </c>
      <c r="FM11" s="762">
        <f t="shared" si="38"/>
        <v>0</v>
      </c>
      <c r="FN11" s="512"/>
      <c r="FO11" s="13" t="str">
        <f t="shared" si="39"/>
        <v>Per-Anders Lindstrom</v>
      </c>
      <c r="FP11" s="496">
        <f t="shared" si="42"/>
        <v>0</v>
      </c>
      <c r="FQ11" s="13">
        <f t="shared" si="25"/>
        <v>0</v>
      </c>
      <c r="FS11" s="215">
        <f>$AG$2</f>
        <v>1</v>
      </c>
      <c r="FT11" s="205" t="b">
        <f>IF($AB$34&gt;$AB$33,$FS$3,IF($AB$34&lt;$AB$33,$FS$11))</f>
        <v>0</v>
      </c>
      <c r="FU11" s="4" t="b">
        <f>IF($AB$27&gt;$AB$26,$FS$4,IF($AB$27&lt;$AB$26,$FS$11))</f>
        <v>0</v>
      </c>
      <c r="FV11" s="4" t="b">
        <f>IF($M$29&gt;$M$28,$FS$5,IF($M$29&lt;$M$28,$FS$11))</f>
        <v>0</v>
      </c>
      <c r="FW11" s="4" t="b">
        <f>IF($M$30&gt;$M$28,$FS$6,IF($M$30&lt;$M$28,$FS$11))</f>
        <v>0</v>
      </c>
      <c r="FX11" s="4" t="b">
        <f>IF($M$24&gt;$M$27,$FS$7,IF($M$24&lt;$M$27,$FS$11))</f>
        <v>0</v>
      </c>
      <c r="FY11" s="4" t="b">
        <f>IF($AB$32&gt;$AB$33,$FS$8,IF($AB$32&lt;$AB$33,$FS$11))</f>
        <v>0</v>
      </c>
      <c r="FZ11" s="4" t="b">
        <f>IF($M$24&gt;$M$27,$FS$9,IF($M$24&lt;$M$27,$FS$11))</f>
        <v>0</v>
      </c>
      <c r="GA11" s="4" t="b">
        <f>IF($AQ$20&gt;$AQ$22,$FS$10,IF($AQ$20&lt;$AQ$22,$FS$11))</f>
        <v>0</v>
      </c>
      <c r="GB11" s="208"/>
      <c r="GC11" s="4" t="b">
        <f>IF($AB$26&gt;$AB$25,$FS$11,IF($AB$26&lt;$AB$25,$FS$12))</f>
        <v>0</v>
      </c>
      <c r="GD11" s="4" t="b">
        <f>IF($M$27&gt;$M$26,$FS$11,IF($M$27&lt;$M$26,$FS$13))</f>
        <v>0</v>
      </c>
      <c r="GE11" s="4" t="b">
        <f>IF($AB$26&gt;$AB$24,$FS$11,IF($AB$26&lt;$AB$24,$FS$14))</f>
        <v>0</v>
      </c>
      <c r="GF11" s="4" t="b">
        <f>IF($AQ$22&gt;$AQ$21,$FS$11,IF($AQ$22&lt;$AQ$21,$FS$15))</f>
        <v>0</v>
      </c>
      <c r="GG11" s="4" t="b">
        <f>IF($M$28&gt;$M$31,$FS$11,IF($M$28&lt;$M$31,$FS$16))</f>
        <v>0</v>
      </c>
      <c r="GH11" s="4" t="b">
        <f>IF($AB$33&gt;$AB$35,$FS$11,IF($AB$33&lt;$AB$35,$FS$17))</f>
        <v>0</v>
      </c>
      <c r="GI11" s="225" t="b">
        <f>IF($AQ$22&gt;$AQ$23,$FS$11,IF($AQ$22&lt;$AQ$23,$FS$18))</f>
        <v>0</v>
      </c>
      <c r="GK11" s="8">
        <v>9</v>
      </c>
      <c r="GL11" s="292"/>
      <c r="GM11" s="293"/>
      <c r="GN11" s="293"/>
      <c r="GO11" s="293"/>
      <c r="GP11" s="294"/>
      <c r="GQ11" s="229">
        <f t="shared" si="41"/>
        <v>0</v>
      </c>
      <c r="GR11" s="601">
        <f t="shared" si="40"/>
        <v>0</v>
      </c>
      <c r="GU11" s="762">
        <f>Q10</f>
        <v>17</v>
      </c>
      <c r="GV11" s="762" t="e">
        <f>#REF!</f>
        <v>#REF!</v>
      </c>
      <c r="GW11" s="762">
        <f>R10</f>
        <v>17</v>
      </c>
      <c r="GX11" s="1179"/>
      <c r="GY11" s="1180"/>
      <c r="GZ11" s="1180"/>
      <c r="HA11" s="1180"/>
      <c r="HE11" s="762">
        <f>AF10</f>
        <v>18</v>
      </c>
      <c r="HF11" s="762" t="e">
        <f>#REF!</f>
        <v>#REF!</v>
      </c>
      <c r="HG11" s="762">
        <f>AG10</f>
        <v>18</v>
      </c>
      <c r="HH11" s="1179"/>
      <c r="HO11" s="1186"/>
      <c r="HP11" s="316"/>
      <c r="HQ11" s="290" t="s">
        <v>252</v>
      </c>
      <c r="HR11" s="290"/>
      <c r="HS11" s="290" t="s">
        <v>79</v>
      </c>
      <c r="HT11" s="290" t="s">
        <v>5</v>
      </c>
      <c r="HU11" s="290" t="s">
        <v>80</v>
      </c>
      <c r="HV11" s="1185"/>
      <c r="HW11" s="290" t="s">
        <v>90</v>
      </c>
      <c r="HX11" s="8" t="s">
        <v>1</v>
      </c>
      <c r="HY11" s="1186"/>
      <c r="HZ11" s="290"/>
      <c r="IA11" s="290"/>
      <c r="IB11" s="290"/>
      <c r="IC11" s="290"/>
      <c r="ID11" s="1185"/>
      <c r="IE11" s="290" t="s">
        <v>89</v>
      </c>
      <c r="IF11" s="1185"/>
      <c r="IG11" s="290"/>
      <c r="IH11" s="8" t="s">
        <v>1</v>
      </c>
      <c r="II11" s="1186"/>
      <c r="IJ11" s="290"/>
      <c r="IK11" s="290"/>
      <c r="IL11" s="290"/>
      <c r="IM11" s="290"/>
      <c r="IN11" s="1185"/>
      <c r="IO11" s="290" t="s">
        <v>89</v>
      </c>
      <c r="IP11" s="1185"/>
      <c r="IQ11" s="290"/>
      <c r="IU11" s="691" t="s">
        <v>1</v>
      </c>
      <c r="IV11" s="692"/>
      <c r="IW11" s="693" t="s">
        <v>2</v>
      </c>
      <c r="IX11" s="694" t="s">
        <v>166</v>
      </c>
      <c r="IZ11" s="691" t="s">
        <v>1</v>
      </c>
      <c r="JA11" s="692"/>
      <c r="JB11" s="693" t="s">
        <v>2</v>
      </c>
      <c r="JC11" s="694" t="s">
        <v>166</v>
      </c>
      <c r="JE11" s="691" t="s">
        <v>1</v>
      </c>
      <c r="JF11" s="692"/>
      <c r="JG11" s="693" t="s">
        <v>2</v>
      </c>
      <c r="JH11" s="694" t="s">
        <v>166</v>
      </c>
      <c r="JI11"/>
      <c r="JJ11"/>
      <c r="JL11" s="8" t="str">
        <f>S2</f>
        <v>Per-Anders Lindstrom</v>
      </c>
      <c r="JM11" s="529"/>
      <c r="JN11" s="529"/>
      <c r="JO11" s="8" t="str">
        <f>S3</f>
        <v>Dimitry Khomitsevich</v>
      </c>
      <c r="JR11" s="8" t="str">
        <f>S4</f>
        <v>Franz Zorn</v>
      </c>
      <c r="JU11" s="8" t="str">
        <f>S5</f>
        <v>Jan Klatovsky</v>
      </c>
      <c r="JX11" s="8" t="str">
        <f>S6</f>
        <v>Antonin Klatovsky</v>
      </c>
      <c r="KA11" s="8" t="str">
        <f>S7</f>
        <v>Rene Stellingwerf</v>
      </c>
      <c r="KD11" s="8" t="str">
        <f>S8</f>
        <v>Igor Kononov</v>
      </c>
      <c r="KG11" s="8" t="str">
        <f>S9</f>
        <v>Gunter Bauer</v>
      </c>
      <c r="KJ11" s="8" t="str">
        <f>AH2</f>
        <v>Daniil Ivanov</v>
      </c>
      <c r="KM11" s="8" t="str">
        <f>AH3</f>
        <v>Hans Weber</v>
      </c>
      <c r="KP11" s="8" t="str">
        <f>AH4</f>
        <v>Harald Simon</v>
      </c>
      <c r="KS11" s="8" t="str">
        <f>AH5</f>
        <v>Vitaly Khomitsevich</v>
      </c>
      <c r="KV11" s="8" t="str">
        <f>AH6</f>
        <v>Daniel Henderson</v>
      </c>
      <c r="KY11" s="8" t="str">
        <f>AH7</f>
        <v>Stefan Pletschacher</v>
      </c>
      <c r="LB11" s="8" t="str">
        <f>AH8</f>
        <v>Dimitry Koltakov</v>
      </c>
      <c r="LE11" s="8" t="str">
        <f>AH9</f>
        <v>Stefan Svensson</v>
      </c>
    </row>
    <row r="12" spans="1:325" ht="12.75" customHeight="1">
      <c r="A12" s="1211">
        <v>1</v>
      </c>
      <c r="B12" s="329">
        <v>3</v>
      </c>
      <c r="C12" s="106">
        <f>VLOOKUP(B12,$CT$3:$CW$20,3,FALSE)</f>
        <v>10</v>
      </c>
      <c r="D12" s="516" t="str">
        <f>VLOOKUP(B12,$CT$3:$CW$20,4,FALSE)</f>
        <v>Franz Zorn</v>
      </c>
      <c r="E12" s="1010"/>
      <c r="F12" s="1014" t="str">
        <f t="shared" ref="F12:F43" si="47">IF(E12&lt;&gt;"",E12,IF(G12&lt;&gt;"","N",""))</f>
        <v/>
      </c>
      <c r="G12" s="544"/>
      <c r="H12" s="1210" t="str">
        <f t="shared" ref="H12:H43" si="48">IF(G12="","",IF(G12=17,$S$10,IF(G12=18,$AH$10,"")))</f>
        <v/>
      </c>
      <c r="I12" s="1210"/>
      <c r="J12" s="1210"/>
      <c r="K12" s="1210"/>
      <c r="L12" s="507"/>
      <c r="M12" s="93" t="str">
        <f>IF(N12="","",IF(N12="R",3,IF(N13="R",2,IF(N14="R",1,IF(N15="R",0,0)))))</f>
        <v/>
      </c>
      <c r="N12" s="706"/>
      <c r="O12" s="268"/>
      <c r="P12" s="1211">
        <v>9</v>
      </c>
      <c r="Q12" s="329">
        <v>16</v>
      </c>
      <c r="R12" s="106">
        <f t="shared" ref="R12:R43" si="49">VLOOKUP(Q12,$CT$3:$CW$20,3,FALSE)</f>
        <v>5</v>
      </c>
      <c r="S12" s="516" t="str">
        <f t="shared" ref="S12:S43" si="50">VLOOKUP(Q12,$CT$3:$CW$20,4,FALSE)</f>
        <v>Stefan Svensson</v>
      </c>
      <c r="T12" s="1010"/>
      <c r="U12" s="1014" t="str">
        <f t="shared" ref="U12:U30" si="51">IF(T12&lt;&gt;"",T12,IF(V12&lt;&gt;"","N",""))</f>
        <v/>
      </c>
      <c r="V12" s="544"/>
      <c r="W12" s="1210" t="str">
        <f t="shared" ref="W12:W43" si="52">IF(V12="","",IF(V12=17,$S$10,IF(V12=18,$AH$10,"")))</f>
        <v/>
      </c>
      <c r="X12" s="1210"/>
      <c r="Y12" s="1210"/>
      <c r="Z12" s="1210"/>
      <c r="AA12" s="507"/>
      <c r="AB12" s="93" t="str">
        <f>IF(AC12="","",IF(AC12="R",3,IF(AC13="R",2,IF(AC14="R",1,IF(AC15="R",0,0)))))</f>
        <v/>
      </c>
      <c r="AC12" s="723"/>
      <c r="AD12" s="269"/>
      <c r="AE12" s="1211">
        <v>17</v>
      </c>
      <c r="AF12" s="329">
        <v>4</v>
      </c>
      <c r="AG12" s="106">
        <f t="shared" ref="AG12:AG27" si="53">VLOOKUP(AF12,$CT$3:$CW$20,3,FALSE)</f>
        <v>6</v>
      </c>
      <c r="AH12" s="516" t="str">
        <f t="shared" ref="AH12:AH27" si="54">VLOOKUP(AF12,$CT$3:$CW$20,4,FALSE)</f>
        <v>Jan Klatovsky</v>
      </c>
      <c r="AI12" s="1010"/>
      <c r="AJ12" s="1014" t="str">
        <f t="shared" ref="AJ12:AJ27" si="55">IF(AI12&lt;&gt;"",AI12,IF(AK12&lt;&gt;"","N",""))</f>
        <v/>
      </c>
      <c r="AK12" s="544"/>
      <c r="AL12" s="1210" t="str">
        <f t="shared" ref="AL12:AL27" si="56">IF(AK12="","",IF(AK12=17,$S$10,IF(AK12=18,$AH$10,"")))</f>
        <v/>
      </c>
      <c r="AM12" s="1210"/>
      <c r="AN12" s="1210"/>
      <c r="AO12" s="1210"/>
      <c r="AP12" s="507"/>
      <c r="AQ12" s="93" t="str">
        <f>IF(AR12="","",IF(AR12="R",3,IF(AR13="R",2,IF(AR14="R",1,IF(AR15="R",0,0)))))</f>
        <v/>
      </c>
      <c r="AR12" s="723"/>
      <c r="AS12" s="268"/>
      <c r="AT12" s="194" t="str">
        <f t="shared" ref="AT12:AU29" si="57">IF($M$15="","",CC3)</f>
        <v/>
      </c>
      <c r="AU12" s="64" t="str">
        <f t="shared" si="57"/>
        <v/>
      </c>
      <c r="AV12" s="89" t="str">
        <f t="shared" ref="AV12:AV29" si="58">CH3</f>
        <v>Daniil Ivanov</v>
      </c>
      <c r="AW12" s="90" t="str">
        <f t="shared" ref="AW12:BB29" si="59">CJ3</f>
        <v/>
      </c>
      <c r="AX12" s="91" t="str">
        <f t="shared" si="59"/>
        <v/>
      </c>
      <c r="AY12" s="91" t="str">
        <f t="shared" si="59"/>
        <v/>
      </c>
      <c r="AZ12" s="91" t="str">
        <f t="shared" si="59"/>
        <v/>
      </c>
      <c r="BA12" s="92" t="str">
        <f t="shared" si="59"/>
        <v/>
      </c>
      <c r="BB12" s="188">
        <f t="shared" si="59"/>
        <v>0</v>
      </c>
      <c r="BD12" s="147" t="str">
        <f t="shared" ref="BD12:BD29" si="60">IF(BE12="","",SUMIF(FB$3:FB$20,BE12,FA$3:FA$20))</f>
        <v/>
      </c>
      <c r="BE12" s="492" t="str">
        <f>IF($BJ$17&lt;12,"",IF($BJ$17=12,CH87,IF($BJ$17=16,CH27,IF($BJ$17=20,CH67,IF($BJ$17=21,CH67,IF($BJ$17=22,CH47,IF($BJ$17=23,FO3)))))))</f>
        <v/>
      </c>
      <c r="BF12" s="188" t="str">
        <f>IF($BJ$17&lt;12,"",IF($BJ$17=12,CI87,IF($BJ$17=16,CI27,IF($BJ$17=20,CI67,IF($BJ$17=21,CI67,IF($BJ$17=22,CI47,IF($BJ$17=23,FP3)))))))</f>
        <v/>
      </c>
      <c r="BG12"/>
      <c r="BH12" s="390">
        <f>COUNTIF(AH$40:AH$43,BE12)</f>
        <v>4</v>
      </c>
      <c r="BI12" s="974">
        <v>18</v>
      </c>
      <c r="BJ12" s="762">
        <f>IF(AC40&lt;&gt;"",16,0)</f>
        <v>0</v>
      </c>
      <c r="BK12" s="451">
        <v>16</v>
      </c>
      <c r="BL12" s="8" t="str">
        <f>$M12</f>
        <v/>
      </c>
      <c r="BQ12" s="8" t="str">
        <f>$AB12</f>
        <v/>
      </c>
      <c r="BV12" s="8" t="str">
        <f>$AQ12</f>
        <v/>
      </c>
      <c r="BY12" s="8"/>
      <c r="BZ12" s="762">
        <v>1</v>
      </c>
      <c r="CA12" s="762" t="str">
        <f t="shared" ref="CA12:CA19" si="61">(AB2)</f>
        <v/>
      </c>
      <c r="CB12" s="13">
        <v>1</v>
      </c>
      <c r="CC12" s="49">
        <f t="shared" si="4"/>
        <v>1</v>
      </c>
      <c r="CD12" s="50" t="str">
        <f t="shared" si="26"/>
        <v>=</v>
      </c>
      <c r="CE12" s="31">
        <v>10</v>
      </c>
      <c r="CF12" s="121">
        <f t="shared" si="5"/>
        <v>3</v>
      </c>
      <c r="CG12" s="126"/>
      <c r="CH12" s="74" t="str">
        <f t="shared" si="27"/>
        <v>Franz Zorn</v>
      </c>
      <c r="CI12" s="278">
        <f t="shared" si="6"/>
        <v>0</v>
      </c>
      <c r="CJ12" s="85" t="str">
        <f t="shared" si="7"/>
        <v/>
      </c>
      <c r="CK12" s="70" t="str">
        <f t="shared" si="7"/>
        <v/>
      </c>
      <c r="CL12" s="70" t="str">
        <f t="shared" si="7"/>
        <v/>
      </c>
      <c r="CM12" s="70" t="str">
        <f t="shared" si="7"/>
        <v/>
      </c>
      <c r="CN12" s="86" t="str">
        <f t="shared" si="7"/>
        <v/>
      </c>
      <c r="CO12" s="79">
        <f t="shared" si="28"/>
        <v>0</v>
      </c>
      <c r="CP12" s="52"/>
      <c r="CQ12" s="249"/>
      <c r="CR12" s="27">
        <f t="shared" si="8"/>
        <v>3</v>
      </c>
      <c r="CS12" s="258">
        <f>RANK(DP12,$DP$3:$DP$20)+COUNTIF(DP$3:DP12,DP12)-1</f>
        <v>12</v>
      </c>
      <c r="CT12" s="32">
        <f t="shared" si="44"/>
        <v>10</v>
      </c>
      <c r="CU12" s="423">
        <f>VLOOKUP(CW12,Draw!$B$3:$C$42,2,FALSE)</f>
        <v>12</v>
      </c>
      <c r="CV12" s="185">
        <f>VLOOKUP(CW12,Draw!$B$3:$C$42,2,FALSE)</f>
        <v>12</v>
      </c>
      <c r="CW12" s="33" t="str">
        <f t="shared" si="45"/>
        <v>Hans Weber</v>
      </c>
      <c r="CX12" s="4" t="str">
        <f t="shared" si="46"/>
        <v/>
      </c>
      <c r="CY12" s="4" t="str">
        <f t="shared" si="46"/>
        <v/>
      </c>
      <c r="CZ12" s="4" t="str">
        <f t="shared" si="46"/>
        <v/>
      </c>
      <c r="DA12" s="4" t="str">
        <f t="shared" si="46"/>
        <v/>
      </c>
      <c r="DB12" s="34" t="str">
        <f t="shared" si="46"/>
        <v/>
      </c>
      <c r="DC12" s="250">
        <f t="shared" si="12"/>
        <v>0</v>
      </c>
      <c r="DD12" s="243">
        <f t="shared" si="13"/>
        <v>0</v>
      </c>
      <c r="DE12" s="236">
        <f t="shared" si="29"/>
        <v>0</v>
      </c>
      <c r="DF12" s="232">
        <f t="shared" si="14"/>
        <v>0</v>
      </c>
      <c r="DG12" s="234">
        <f t="shared" si="30"/>
        <v>0</v>
      </c>
      <c r="DH12" s="232">
        <f t="shared" si="15"/>
        <v>0</v>
      </c>
      <c r="DI12" s="41">
        <f t="shared" si="31"/>
        <v>0</v>
      </c>
      <c r="DJ12" s="271">
        <f t="shared" si="16"/>
        <v>0</v>
      </c>
      <c r="DK12" s="602">
        <f t="shared" si="32"/>
        <v>0</v>
      </c>
      <c r="DL12" s="281">
        <f t="shared" si="17"/>
        <v>0</v>
      </c>
      <c r="DM12" s="643">
        <f t="shared" si="43"/>
        <v>4.7999999999999996E-7</v>
      </c>
      <c r="DN12" s="284">
        <f t="shared" si="18"/>
        <v>0</v>
      </c>
      <c r="DO12" s="284">
        <f t="shared" si="19"/>
        <v>0</v>
      </c>
      <c r="DP12" s="647">
        <f t="shared" si="33"/>
        <v>4.7999999999999996E-7</v>
      </c>
      <c r="DQ12" s="594"/>
      <c r="DR12" s="205">
        <f>IF($DN$12=$DN$3,$CV$12,"")</f>
        <v>12</v>
      </c>
      <c r="DS12" s="4">
        <f>IF($DN$12=$DN$4,$CV$12,"")</f>
        <v>12</v>
      </c>
      <c r="DT12" s="4">
        <f>IF($DN$12=$DN$5,$CV$12,"")</f>
        <v>12</v>
      </c>
      <c r="DU12" s="4">
        <f>IF($DN$12=$DN$6,$CV$12,"")</f>
        <v>12</v>
      </c>
      <c r="DV12" s="4">
        <f>IF($DN$12=$DN$7,$CV$12,"")</f>
        <v>12</v>
      </c>
      <c r="DW12" s="4">
        <f>IF($DN$12=$DN$8,$CV$12,"")</f>
        <v>12</v>
      </c>
      <c r="DX12" s="4">
        <f>IF($DN$12=$DN$9,$CV$12,"")</f>
        <v>12</v>
      </c>
      <c r="DY12" s="4">
        <f>IF($DN$12=$DN$10,$CV$12,"")</f>
        <v>12</v>
      </c>
      <c r="DZ12" s="4">
        <f>IF($DN$12=$DN$11,$CV$12,"")</f>
        <v>12</v>
      </c>
      <c r="EA12" s="208"/>
      <c r="EB12" s="4">
        <f>IF($DN$12=$DN$13,$CV$12,"")</f>
        <v>12</v>
      </c>
      <c r="EC12" s="4">
        <f>IF($DN$12=$DN$14,$CV$12,"")</f>
        <v>12</v>
      </c>
      <c r="ED12" s="4">
        <f>IF($DN$12=$DN$15,$CV$12,"")</f>
        <v>12</v>
      </c>
      <c r="EE12" s="4">
        <f>IF($DN$12=$DN$16,$CV$12,"")</f>
        <v>12</v>
      </c>
      <c r="EF12" s="4">
        <f>IF($DN$12=$DN$17,$CV$12,"")</f>
        <v>12</v>
      </c>
      <c r="EG12" s="225">
        <f>IF($DN$12=$DN$18,$CV$12,"")</f>
        <v>12</v>
      </c>
      <c r="EH12" s="215">
        <f>$AG$3</f>
        <v>12</v>
      </c>
      <c r="EI12" s="205" t="b">
        <f>IF($DR$12="","",$FT$12)</f>
        <v>0</v>
      </c>
      <c r="EJ12" s="4" t="b">
        <f>IF($DS$12="","",$FU$12)</f>
        <v>0</v>
      </c>
      <c r="EK12" s="4" t="b">
        <f>IF($DT$12="","",$FV$12)</f>
        <v>0</v>
      </c>
      <c r="EL12" s="4" t="b">
        <f>IF($DU$12="","",$FW$12)</f>
        <v>0</v>
      </c>
      <c r="EM12" s="4" t="b">
        <f>IF($DV$12="","",$FX$12)</f>
        <v>0</v>
      </c>
      <c r="EN12" s="4" t="b">
        <f>IF($DW$12="","",$FY$12)</f>
        <v>0</v>
      </c>
      <c r="EO12" s="4" t="b">
        <f>IF($DX$12="","",$FZ$12)</f>
        <v>0</v>
      </c>
      <c r="EP12" s="4" t="b">
        <f>IF($DY$12="","",$GA$12)</f>
        <v>0</v>
      </c>
      <c r="EQ12" s="4" t="b">
        <f>IF($DZ$12="","",$GB$12)</f>
        <v>0</v>
      </c>
      <c r="ER12" s="208"/>
      <c r="ES12" s="4" t="b">
        <f>IF($EB$12="","",$GD$12)</f>
        <v>0</v>
      </c>
      <c r="ET12" s="4" t="b">
        <f>IF($EC$12="","",$GE$12)</f>
        <v>0</v>
      </c>
      <c r="EU12" s="4" t="b">
        <f>IF($ED$12="","",$GF$12)</f>
        <v>0</v>
      </c>
      <c r="EV12" s="4" t="b">
        <f>IF($EE$12="","",$GG$12)</f>
        <v>0</v>
      </c>
      <c r="EW12" s="4" t="b">
        <f>IF($EF$12="","",$GH$12)</f>
        <v>0</v>
      </c>
      <c r="EX12" s="225" t="b">
        <f>IF($EG$12="","",$GI$12)</f>
        <v>0</v>
      </c>
      <c r="EY12" s="230">
        <f>COUNTIF($EI$12:$EX$12,$EH$12)</f>
        <v>0</v>
      </c>
      <c r="FA12" s="130">
        <f t="shared" si="20"/>
        <v>12</v>
      </c>
      <c r="FB12" s="13" t="str">
        <f t="shared" si="20"/>
        <v>Hans Weber</v>
      </c>
      <c r="FC12" s="129">
        <f t="shared" si="34"/>
        <v>0</v>
      </c>
      <c r="FD12" s="129">
        <f t="shared" si="21"/>
        <v>0</v>
      </c>
      <c r="FE12" s="504">
        <v>0</v>
      </c>
      <c r="FF12" s="129">
        <f t="shared" si="35"/>
        <v>0</v>
      </c>
      <c r="FG12" s="483">
        <f t="shared" si="22"/>
        <v>4.7999999999999996E-7</v>
      </c>
      <c r="FH12" s="483">
        <f t="shared" si="36"/>
        <v>4.7999999999999996E-7</v>
      </c>
      <c r="FI12" s="176">
        <f t="shared" si="37"/>
        <v>4.7999999999999996E-7</v>
      </c>
      <c r="FJ12" s="484">
        <f t="shared" si="23"/>
        <v>4.7999999999999996E-7</v>
      </c>
      <c r="FK12" s="762">
        <f t="shared" si="24"/>
        <v>12</v>
      </c>
      <c r="FL12" s="762">
        <v>10</v>
      </c>
      <c r="FM12" s="762">
        <f t="shared" si="38"/>
        <v>0</v>
      </c>
      <c r="FN12" s="512"/>
      <c r="FO12" s="13" t="str">
        <f t="shared" si="39"/>
        <v>Franz Zorn</v>
      </c>
      <c r="FP12" s="496">
        <f t="shared" si="42"/>
        <v>0</v>
      </c>
      <c r="FQ12" s="13">
        <f t="shared" si="25"/>
        <v>0</v>
      </c>
      <c r="FS12" s="215">
        <f>$AG$3</f>
        <v>12</v>
      </c>
      <c r="FT12" s="205" t="b">
        <f>IF($AQ$14&gt;$AQ$15,$FS$3,IF($AQ$14&lt;$AQ$15,$FS$12))</f>
        <v>0</v>
      </c>
      <c r="FU12" s="4" t="b">
        <f>IF($AB$27&gt;$AB$25,$FS$4,IF($AB$27&lt;$AB$25,$FS$12))</f>
        <v>0</v>
      </c>
      <c r="FV12" s="4" t="b">
        <f>IF($M$12&gt;$M$15,$FS$5,IF($M$12&lt;$M$15,$FS$12))</f>
        <v>0</v>
      </c>
      <c r="FW12" s="4" t="b">
        <f>IF($AQ$12&gt;$AQ$15,$FS$6,IF($AQ$12&lt;$AQ$15,$FS$12))</f>
        <v>0</v>
      </c>
      <c r="FX12" s="4" t="b">
        <f>IF($AB$43&gt;$AB$42,$FS$7,IF($AB$43&lt;$AB$42,$FS$12))</f>
        <v>0</v>
      </c>
      <c r="FY12" s="4" t="b">
        <f>IF($M$13&gt;$M$15,$FS$8,IF($M$13&lt;$M$15,$FS$12))</f>
        <v>0</v>
      </c>
      <c r="FZ12" s="4" t="b">
        <f>IF($AQ$13&gt;$AQ$15,$FS$9,IF($AQ$13&lt;$AQ$15,$FS$12))</f>
        <v>0</v>
      </c>
      <c r="GA12" s="4" t="b">
        <f>IF($M$14&gt;$M$15,$FS$10,IF($M$14&lt;$M$15,$FS$12))</f>
        <v>0</v>
      </c>
      <c r="GB12" s="4" t="b">
        <f>IF($AB$26&gt;$AB$25,$FS$11,IF($AB$26&lt;$AB$25,$FS$12))</f>
        <v>0</v>
      </c>
      <c r="GC12" s="208"/>
      <c r="GD12" s="4" t="b">
        <f>IF($M$40&gt;$M$43,$FS$12,IF($M$40&lt;$M$43,$FS$13))</f>
        <v>0</v>
      </c>
      <c r="GE12" s="4" t="b">
        <f>IF($AB$25&gt;$AB$24,$FS$12,IF($AB$25&lt;$AB$24,$FS$14))</f>
        <v>0</v>
      </c>
      <c r="GF12" s="4" t="b">
        <f>IF($M$40&gt;$M$42,$FS$12,IF($M$40&lt;$M$42,$FS$15))</f>
        <v>0</v>
      </c>
      <c r="GG12" s="4" t="b">
        <f>IF($AB$42&gt;$AB$40,$FS$12,IF($AB$42&lt;$AB$40,$FS$16))</f>
        <v>0</v>
      </c>
      <c r="GH12" s="4" t="b">
        <f>IF($M$40&gt;$M$41,$FS$12,IF($M$40&lt;$M$41,$FS$17))</f>
        <v>0</v>
      </c>
      <c r="GI12" s="211" t="b">
        <f>IF($AB$42&gt;$AB$41,$FS$12,IF($AB$42&lt;$AB$41,$FS$18))</f>
        <v>0</v>
      </c>
      <c r="GK12" s="8">
        <v>10</v>
      </c>
      <c r="GL12" s="205"/>
      <c r="GM12" s="4"/>
      <c r="GN12" s="4"/>
      <c r="GO12" s="4"/>
      <c r="GP12" s="225"/>
      <c r="GQ12" s="230">
        <f t="shared" si="41"/>
        <v>0</v>
      </c>
      <c r="GR12" s="601">
        <f t="shared" si="40"/>
        <v>0</v>
      </c>
      <c r="GW12" s="1143">
        <v>1</v>
      </c>
      <c r="GX12" s="229" t="str">
        <f>IF($N$12="","",IF($IW$12=$GX$3,$IX$12,IF(AND($H$12=$GX$3,$L$12&lt;&gt;""),$L$12,IF(AND($H$12=$GX$3,$L$12=""),$M$12,""))))</f>
        <v/>
      </c>
      <c r="GY12" s="299">
        <v>80</v>
      </c>
      <c r="GZ12" s="300" t="str">
        <f>IF(GX12="","",GY12)</f>
        <v/>
      </c>
      <c r="HA12" s="93" t="str">
        <f t="shared" ref="HA12:HA75" si="62">IF(GX12="","",RANK(GZ12,GZ$12:GZ$91))</f>
        <v/>
      </c>
      <c r="HB12" s="514">
        <f>MAX(HA12:HA91)</f>
        <v>0</v>
      </c>
      <c r="HC12" s="93" t="str">
        <f>IF(GX12="","",GX12)</f>
        <v/>
      </c>
      <c r="HG12" s="1143">
        <v>1</v>
      </c>
      <c r="HH12" s="229" t="str">
        <f>IF($N$12="","",IF($IW$12=$HH$3,$IX$12,IF(AND($H$12=$HH$3,$L$12&lt;&gt;""),$L$12,IF(AND($H$12=$HH$3,$L$12=""),$M$12,""))))</f>
        <v/>
      </c>
      <c r="HI12" s="299">
        <v>80</v>
      </c>
      <c r="HJ12" s="300" t="str">
        <f>IF(HH12="","",HI12)</f>
        <v/>
      </c>
      <c r="HK12" s="93" t="str">
        <f t="shared" ref="HK12:HK75" si="63">IF(HH12="","",RANK(HJ12,HJ$12:HJ$91))</f>
        <v/>
      </c>
      <c r="HL12" s="514">
        <f>MAX(HK12:HK91)</f>
        <v>0</v>
      </c>
      <c r="HM12" s="93" t="str">
        <f t="shared" ref="HM12:HM75" si="64">IF(HH12="","",HH12)</f>
        <v/>
      </c>
      <c r="HN12" s="1148">
        <v>1</v>
      </c>
      <c r="HO12" s="346" t="str">
        <f>IF($H12="",$D12,$H12)</f>
        <v>Franz Zorn</v>
      </c>
      <c r="HP12" s="883" t="str">
        <f>M12</f>
        <v/>
      </c>
      <c r="HQ12" s="335" t="str">
        <f>IF($L12="","",$L12)</f>
        <v/>
      </c>
      <c r="HR12" s="335">
        <v>0.04</v>
      </c>
      <c r="HS12" s="456" t="str">
        <f t="shared" ref="HS12:HS20" si="65">IF(HQ12&lt;&gt;"",-1,HP12)</f>
        <v/>
      </c>
      <c r="HT12" s="457" t="e">
        <f>RANK(HS12,HS12:HS15)+COUNTIF(HS12:HS12,HS12)-1</f>
        <v>#VALUE!</v>
      </c>
      <c r="HU12" s="335" t="str">
        <f>IF(HQ12="",HO12,HO12&amp;" ("&amp;HQ12&amp;")")</f>
        <v>Franz Zorn</v>
      </c>
      <c r="HV12" s="347">
        <v>1</v>
      </c>
      <c r="HW12" s="336" t="str">
        <f>IF(N12="","",VLOOKUP(HV12,HT12:HU15,2,FALSE))</f>
        <v/>
      </c>
      <c r="HX12" s="1148">
        <v>9</v>
      </c>
      <c r="HY12" s="346" t="str">
        <f>IF($W12="",$S12,$W12)</f>
        <v>Stefan Svensson</v>
      </c>
      <c r="HZ12" s="335" t="str">
        <f>AB12</f>
        <v/>
      </c>
      <c r="IA12" s="335" t="str">
        <f>IF($AA12="","",$AA12)</f>
        <v/>
      </c>
      <c r="IB12" s="335">
        <v>0.04</v>
      </c>
      <c r="IC12" s="456" t="str">
        <f t="shared" ref="IC12:IC20" si="66">IF(IA12&lt;&gt;"",-1,HZ12)</f>
        <v/>
      </c>
      <c r="ID12" s="457" t="e">
        <f>RANK(IC12,IC12:IC15)+COUNTIF(IC12:IC12,IC12)-1</f>
        <v>#VALUE!</v>
      </c>
      <c r="IE12" s="335" t="str">
        <f>IF(IA12="",HY12,HY12&amp;" ("&amp;IA12&amp;")")</f>
        <v>Stefan Svensson</v>
      </c>
      <c r="IF12" s="350">
        <v>1</v>
      </c>
      <c r="IG12" s="336" t="str">
        <f>IF(AC12="","",VLOOKUP(IF12,ID12:IE15,2,FALSE))</f>
        <v/>
      </c>
      <c r="IH12" s="1148">
        <v>17</v>
      </c>
      <c r="II12" s="346" t="str">
        <f>IF($AL12="",$AH12,$AL12)</f>
        <v>Jan Klatovsky</v>
      </c>
      <c r="IJ12" s="335" t="str">
        <f>AQ12</f>
        <v/>
      </c>
      <c r="IK12" s="335" t="str">
        <f>IF($AP12="","",$AP12)</f>
        <v/>
      </c>
      <c r="IL12" s="335">
        <v>0.04</v>
      </c>
      <c r="IM12" s="456" t="str">
        <f t="shared" ref="IM12:IM30" si="67">IF(IK12&lt;&gt;"",-1,IJ12)</f>
        <v/>
      </c>
      <c r="IN12" s="457" t="e">
        <f>RANK(IM12,IM12:IM15)+COUNTIF(IM12:IM12,IM12)-1</f>
        <v>#VALUE!</v>
      </c>
      <c r="IO12" s="335" t="str">
        <f>IF(IK12="",II12,II12&amp;" ("&amp;IK12&amp;")")</f>
        <v>Jan Klatovsky</v>
      </c>
      <c r="IP12" s="350">
        <v>1</v>
      </c>
      <c r="IQ12" s="336" t="str">
        <f>IF(AR12="","",VLOOKUP(IP12,IN12:IO15,2,FALSE))</f>
        <v/>
      </c>
      <c r="IU12" s="1111">
        <v>1</v>
      </c>
      <c r="IV12" s="695"/>
      <c r="IW12" s="696" t="str">
        <f t="shared" ref="IW12:IW43" si="68">IF(IV12=17,$S$10,IF(IV12=18,$AH$10,""))</f>
        <v/>
      </c>
      <c r="IX12" s="697"/>
      <c r="IZ12" s="1111">
        <v>9</v>
      </c>
      <c r="JA12" s="695"/>
      <c r="JB12" s="696" t="str">
        <f t="shared" ref="JB12:JB43" si="69">IF(JA12=17,$S$10,IF(JA12=18,$AH$10,""))</f>
        <v/>
      </c>
      <c r="JC12" s="697"/>
      <c r="JE12" s="1111">
        <v>17</v>
      </c>
      <c r="JF12" s="695"/>
      <c r="JG12" s="696" t="str">
        <f t="shared" ref="JG12:JG27" si="70">IF(JF12=17,$S$10,IF(JF12=18,$AH$10,""))</f>
        <v/>
      </c>
      <c r="JH12" s="697"/>
      <c r="JI12" s="687"/>
      <c r="JJ12" s="1334">
        <v>1</v>
      </c>
      <c r="JK12" s="875">
        <v>80</v>
      </c>
      <c r="JL12" s="878" t="str">
        <f>IF(JM12="","",RANK(JM12,JM$12:JM$91))</f>
        <v/>
      </c>
      <c r="JM12" s="871" t="str">
        <f t="shared" ref="JM12:JM43" si="71">IF(JN12="","",$JK12)</f>
        <v/>
      </c>
      <c r="JN12" s="881" t="str">
        <f>IF($N$12="","",IF(AND($D$12=JL$11,$F$12&lt;&gt;""),$F$12,IF(AND($D$12=JL$11,$L$12&lt;&gt;""),$L$12,IF($D$12=JL$11,$M$12,""))))</f>
        <v/>
      </c>
      <c r="JO12" s="878" t="str">
        <f>IF(JP12="","",RANK(JP12,JP$12:JP$91))</f>
        <v/>
      </c>
      <c r="JP12" s="871" t="str">
        <f t="shared" ref="JP12:JP43" si="72">IF(JQ12="","",$JK12)</f>
        <v/>
      </c>
      <c r="JQ12" s="881" t="str">
        <f>IF($N$12="","",IF(AND($D$12=JO$11,$F$12&lt;&gt;""),$F$12,IF(AND($D$12=JO$11,$L$12&lt;&gt;""),$L$12,IF($D$12=JO$11,$M$12,""))))</f>
        <v/>
      </c>
      <c r="JR12" s="878" t="str">
        <f t="shared" ref="JR12:JR43" si="73">IF(JS12="","",RANK(JS12,JS$12:JS$91))</f>
        <v/>
      </c>
      <c r="JS12" s="871" t="str">
        <f t="shared" ref="JS12:JS43" si="74">IF(JT12="","",$JK12)</f>
        <v/>
      </c>
      <c r="JT12" s="881" t="str">
        <f>IF($N$12="","",IF(AND($D$12=JR$11,$F$12&lt;&gt;""),$F$12,IF(AND($D$12=JR$11,$L$12&lt;&gt;""),$L$12,IF($D$12=JR$11,$M$12,""))))</f>
        <v/>
      </c>
      <c r="JU12" s="878" t="str">
        <f t="shared" ref="JU12:JU43" si="75">IF(JV12="","",RANK(JV12,JV$12:JV$91))</f>
        <v/>
      </c>
      <c r="JV12" s="871" t="str">
        <f t="shared" ref="JV12:JV43" si="76">IF(JW12="","",$JK12)</f>
        <v/>
      </c>
      <c r="JW12" s="881" t="str">
        <f>IF($N$12="","",IF(AND($D$12=JU$11,$F$12&lt;&gt;""),$F$12,IF(AND($D$12=JU$11,$L$12&lt;&gt;""),$L$12,IF($D$12=JU$11,$M$12,""))))</f>
        <v/>
      </c>
      <c r="JX12" s="878" t="str">
        <f t="shared" ref="JX12:JX43" si="77">IF(JY12="","",RANK(JY12,JY$12:JY$91))</f>
        <v/>
      </c>
      <c r="JY12" s="871" t="str">
        <f t="shared" ref="JY12:JY43" si="78">IF(JZ12="","",$JK12)</f>
        <v/>
      </c>
      <c r="JZ12" s="881" t="str">
        <f>IF($N$12="","",IF(AND($D$12=JX$11,$F$12&lt;&gt;""),$F$12,IF(AND($D$12=JX$11,$L$12&lt;&gt;""),$L$12,IF($D$12=JX$11,$M$12,""))))</f>
        <v/>
      </c>
      <c r="KA12" s="878" t="str">
        <f t="shared" ref="KA12:KA43" si="79">IF(KB12="","",RANK(KB12,KB$12:KB$91))</f>
        <v/>
      </c>
      <c r="KB12" s="871" t="str">
        <f t="shared" ref="KB12:KB43" si="80">IF(KC12="","",$JK12)</f>
        <v/>
      </c>
      <c r="KC12" s="881" t="str">
        <f>IF($N$12="","",IF(AND($D$12=KA$11,$F$12&lt;&gt;""),$F$12,IF(AND($D$12=KA$11,$L$12&lt;&gt;""),$L$12,IF($D$12=KA$11,$M$12,""))))</f>
        <v/>
      </c>
      <c r="KD12" s="878" t="str">
        <f t="shared" ref="KD12:KD43" si="81">IF(KE12="","",RANK(KE12,KE$12:KE$91))</f>
        <v/>
      </c>
      <c r="KE12" s="871" t="str">
        <f t="shared" ref="KE12:KE43" si="82">IF(KF12="","",$JK12)</f>
        <v/>
      </c>
      <c r="KF12" s="881" t="str">
        <f>IF($N$12="","",IF(AND($D$12=KD$11,$F$12&lt;&gt;""),$F$12,IF(AND($D$12=KD$11,$L$12&lt;&gt;""),$L$12,IF($D$12=KD$11,$M$12,""))))</f>
        <v/>
      </c>
      <c r="KG12" s="878" t="str">
        <f t="shared" ref="KG12:KG43" si="83">IF(KH12="","",RANK(KH12,KH$12:KH$91))</f>
        <v/>
      </c>
      <c r="KH12" s="871" t="str">
        <f t="shared" ref="KH12:KH43" si="84">IF(KI12="","",$JK12)</f>
        <v/>
      </c>
      <c r="KI12" s="881" t="str">
        <f>IF($N$12="","",IF(AND($D$12=KG$11,$F$12&lt;&gt;""),$F$12,IF(AND($D$12=KG$11,$L$12&lt;&gt;""),$L$12,IF($D$12=KG$11,$M$12,""))))</f>
        <v/>
      </c>
      <c r="KJ12" s="878" t="str">
        <f t="shared" ref="KJ12:KJ43" si="85">IF(KK12="","",RANK(KK12,KK$12:KK$91))</f>
        <v/>
      </c>
      <c r="KK12" s="871" t="str">
        <f t="shared" ref="KK12:KK43" si="86">IF(KL12="","",$JK12)</f>
        <v/>
      </c>
      <c r="KL12" s="881" t="str">
        <f>IF($N$12="","",IF(AND($D$12=KJ$11,$F$12&lt;&gt;""),$F$12,IF(AND($D$12=KJ$11,$L$12&lt;&gt;""),$L$12,IF($D$12=KJ$11,$M$12,""))))</f>
        <v/>
      </c>
      <c r="KM12" s="878" t="str">
        <f t="shared" ref="KM12:KM43" si="87">IF(KN12="","",RANK(KN12,KN$12:KN$91))</f>
        <v/>
      </c>
      <c r="KN12" s="871" t="str">
        <f t="shared" ref="KN12:KN43" si="88">IF(KO12="","",$JK12)</f>
        <v/>
      </c>
      <c r="KO12" s="881" t="str">
        <f>IF($N$12="","",IF(AND($D$12=KM$11,$F$12&lt;&gt;""),$F$12,IF(AND($D$12=KM$11,$L$12&lt;&gt;""),$L$12,IF($D$12=KM$11,$M$12,""))))</f>
        <v/>
      </c>
      <c r="KP12" s="878" t="str">
        <f t="shared" ref="KP12:KP43" si="89">IF(KQ12="","",RANK(KQ12,KQ$12:KQ$91))</f>
        <v/>
      </c>
      <c r="KQ12" s="871" t="str">
        <f t="shared" ref="KQ12:KQ43" si="90">IF(KR12="","",$JK12)</f>
        <v/>
      </c>
      <c r="KR12" s="881" t="str">
        <f>IF($N$12="","",IF(AND($D$12=KP$11,$F$12&lt;&gt;""),$F$12,IF(AND($D$12=KP$11,$L$12&lt;&gt;""),$L$12,IF($D$12=KP$11,$M$12,""))))</f>
        <v/>
      </c>
      <c r="KS12" s="878" t="str">
        <f t="shared" ref="KS12:KS43" si="91">IF(KT12="","",RANK(KT12,KT$12:KT$91))</f>
        <v/>
      </c>
      <c r="KT12" s="871" t="str">
        <f t="shared" ref="KT12:KT43" si="92">IF(KU12="","",$JK12)</f>
        <v/>
      </c>
      <c r="KU12" s="881" t="str">
        <f>IF($N$12="","",IF(AND($D$12=KS$11,$F$12&lt;&gt;""),$F$12,IF(AND($D$12=KS$11,$L$12&lt;&gt;""),$L$12,IF($D$12=KS$11,$M$12,""))))</f>
        <v/>
      </c>
      <c r="KV12" s="878" t="str">
        <f t="shared" ref="KV12:KV43" si="93">IF(KW12="","",RANK(KW12,KW$12:KW$91))</f>
        <v/>
      </c>
      <c r="KW12" s="871" t="str">
        <f t="shared" ref="KW12:KW43" si="94">IF(KX12="","",$JK12)</f>
        <v/>
      </c>
      <c r="KX12" s="881" t="str">
        <f>IF($N$12="","",IF(AND($D$12=KV$11,$F$12&lt;&gt;""),$F$12,IF(AND($D$12=KV$11,$L$12&lt;&gt;""),$L$12,IF($D$12=KV$11,$M$12,""))))</f>
        <v/>
      </c>
      <c r="KY12" s="878" t="str">
        <f t="shared" ref="KY12:KY43" si="95">IF(KZ12="","",RANK(KZ12,KZ$12:KZ$91))</f>
        <v/>
      </c>
      <c r="KZ12" s="871" t="str">
        <f t="shared" ref="KZ12:KZ43" si="96">IF(LA12="","",$JK12)</f>
        <v/>
      </c>
      <c r="LA12" s="881" t="str">
        <f>IF($N$12="","",IF(AND($D$12=KY$11,$F$12&lt;&gt;""),$F$12,IF(AND($D$12=KY$11,$L$12&lt;&gt;""),$L$12,IF($D$12=KY$11,$M$12,""))))</f>
        <v/>
      </c>
      <c r="LB12" s="878" t="str">
        <f t="shared" ref="LB12:LB43" si="97">IF(LC12="","",RANK(LC12,LC$12:LC$91))</f>
        <v/>
      </c>
      <c r="LC12" s="871" t="str">
        <f t="shared" ref="LC12:LC43" si="98">IF(LD12="","",$JK12)</f>
        <v/>
      </c>
      <c r="LD12" s="881" t="str">
        <f>IF($N$12="","",IF(AND($D$12=LB$11,$F$12&lt;&gt;""),$F$12,IF(AND($D$12=LB$11,$L$12&lt;&gt;""),$L$12,IF($D$12=LB$11,$M$12,""))))</f>
        <v/>
      </c>
      <c r="LE12" s="878" t="str">
        <f t="shared" ref="LE12:LE43" si="99">IF(LF12="","",RANK(LF12,LF$12:LF$91))</f>
        <v/>
      </c>
      <c r="LF12" s="871" t="str">
        <f t="shared" ref="LF12:LF43" si="100">IF(LG12="","",$JK12)</f>
        <v/>
      </c>
      <c r="LG12" s="881" t="str">
        <f>IF($N$12="","",IF(AND($D$12=LE$11,$F$12&lt;&gt;""),$F$12,IF(AND($D$12=LE$11,$L$12&lt;&gt;""),$L$12,IF($D$12=LE$11,$M$12,""))))</f>
        <v/>
      </c>
      <c r="LH12"/>
      <c r="LI12"/>
      <c r="LJ12"/>
      <c r="LK12"/>
      <c r="LL12"/>
      <c r="LM12"/>
    </row>
    <row r="13" spans="1:325" ht="12.75" customHeight="1">
      <c r="A13" s="1212"/>
      <c r="B13" s="39">
        <v>6</v>
      </c>
      <c r="C13" s="101">
        <f t="shared" ref="C13:C43" si="101">VLOOKUP(B13,$CT$3:$CW$20,3,FALSE)</f>
        <v>16</v>
      </c>
      <c r="D13" s="517" t="str">
        <f t="shared" ref="D13:D43" si="102">VLOOKUP(B13,$CT$3:$CW$20,4,FALSE)</f>
        <v>Rene Stellingwerf</v>
      </c>
      <c r="E13" s="1011"/>
      <c r="F13" s="1015" t="str">
        <f t="shared" si="47"/>
        <v/>
      </c>
      <c r="G13" s="545"/>
      <c r="H13" s="1198" t="str">
        <f t="shared" si="48"/>
        <v/>
      </c>
      <c r="I13" s="1198"/>
      <c r="J13" s="1198"/>
      <c r="K13" s="1198"/>
      <c r="L13" s="508"/>
      <c r="M13" s="146" t="str">
        <f>IF(N12="","",IF(N12="B",3,IF(N13="B",2,IF(N14="B",1,IF(N15="B",0,0)))))</f>
        <v/>
      </c>
      <c r="N13" s="707"/>
      <c r="O13" s="268"/>
      <c r="P13" s="1212"/>
      <c r="Q13" s="39">
        <v>11</v>
      </c>
      <c r="R13" s="101">
        <f t="shared" si="49"/>
        <v>15</v>
      </c>
      <c r="S13" s="517" t="str">
        <f t="shared" si="50"/>
        <v>Harald Simon</v>
      </c>
      <c r="T13" s="1011"/>
      <c r="U13" s="1015" t="str">
        <f t="shared" si="51"/>
        <v/>
      </c>
      <c r="V13" s="545"/>
      <c r="W13" s="1198" t="str">
        <f t="shared" si="52"/>
        <v/>
      </c>
      <c r="X13" s="1198"/>
      <c r="Y13" s="1198"/>
      <c r="Z13" s="1198"/>
      <c r="AA13" s="508"/>
      <c r="AB13" s="146" t="str">
        <f>IF(AC12="","",IF(AC12="B",3,IF(AC13="B",2,IF(AC14="B",1,IF(AC15="B",0,0)))))</f>
        <v/>
      </c>
      <c r="AC13" s="724"/>
      <c r="AD13" s="269"/>
      <c r="AE13" s="1212"/>
      <c r="AF13" s="39">
        <v>7</v>
      </c>
      <c r="AG13" s="101">
        <f t="shared" si="53"/>
        <v>4</v>
      </c>
      <c r="AH13" s="517" t="str">
        <f t="shared" si="54"/>
        <v>Igor Kononov</v>
      </c>
      <c r="AI13" s="1011"/>
      <c r="AJ13" s="1015" t="str">
        <f t="shared" si="55"/>
        <v/>
      </c>
      <c r="AK13" s="545"/>
      <c r="AL13" s="1198" t="str">
        <f t="shared" si="56"/>
        <v/>
      </c>
      <c r="AM13" s="1198"/>
      <c r="AN13" s="1198"/>
      <c r="AO13" s="1198"/>
      <c r="AP13" s="508"/>
      <c r="AQ13" s="146" t="str">
        <f>IF(AR12="","",IF(AR12="B",3,IF(AR13="B",2,IF(AR14="B",1,IF(AR15="B",0,0)))))</f>
        <v/>
      </c>
      <c r="AR13" s="724"/>
      <c r="AS13" s="268"/>
      <c r="AT13" s="195" t="str">
        <f t="shared" si="57"/>
        <v/>
      </c>
      <c r="AU13" s="65" t="str">
        <f t="shared" si="57"/>
        <v/>
      </c>
      <c r="AV13" s="94" t="str">
        <f t="shared" si="58"/>
        <v>Dimitry Koltakov</v>
      </c>
      <c r="AW13" s="3" t="str">
        <f t="shared" si="59"/>
        <v/>
      </c>
      <c r="AX13" s="4" t="str">
        <f t="shared" si="59"/>
        <v/>
      </c>
      <c r="AY13" s="4" t="str">
        <f t="shared" si="59"/>
        <v/>
      </c>
      <c r="AZ13" s="4" t="str">
        <f t="shared" si="59"/>
        <v/>
      </c>
      <c r="BA13" s="26" t="str">
        <f t="shared" si="59"/>
        <v/>
      </c>
      <c r="BB13" s="189">
        <f t="shared" si="59"/>
        <v>0</v>
      </c>
      <c r="BD13" s="192" t="str">
        <f t="shared" si="60"/>
        <v/>
      </c>
      <c r="BE13" s="493" t="str">
        <f t="shared" ref="BE13:BF29" si="103">IF($BJ$17&lt;12,"",IF($BJ$17=12,CH88,IF($BJ$17=16,CH28,IF($BJ$17=20,CH68,IF($BJ$17=21,CH68,IF($BJ$17=22,CH48,IF($BJ$17=23,FO4)))))))</f>
        <v/>
      </c>
      <c r="BF13" s="95" t="str">
        <f t="shared" si="103"/>
        <v/>
      </c>
      <c r="BG13"/>
      <c r="BH13" s="390">
        <f t="shared" ref="BH13:BH29" si="104">COUNTIF(AH$40:AH$43,BE13)</f>
        <v>4</v>
      </c>
      <c r="BI13" s="974">
        <v>17</v>
      </c>
      <c r="BJ13" s="762">
        <f>IF(AR24&lt;&gt;"",20,0)</f>
        <v>0</v>
      </c>
      <c r="BK13" s="451">
        <v>15</v>
      </c>
      <c r="BM13" s="8" t="str">
        <f>$M13</f>
        <v/>
      </c>
      <c r="BR13" s="8" t="str">
        <f>$AB13</f>
        <v/>
      </c>
      <c r="BW13" s="8" t="str">
        <f>$AQ13</f>
        <v/>
      </c>
      <c r="BY13" s="8"/>
      <c r="BZ13" s="762">
        <v>2</v>
      </c>
      <c r="CA13" s="762" t="str">
        <f t="shared" si="61"/>
        <v/>
      </c>
      <c r="CB13" s="13">
        <v>2</v>
      </c>
      <c r="CC13" s="49">
        <f t="shared" si="4"/>
        <v>1</v>
      </c>
      <c r="CD13" s="50" t="str">
        <f t="shared" si="26"/>
        <v>=</v>
      </c>
      <c r="CE13" s="31">
        <v>11</v>
      </c>
      <c r="CF13" s="121">
        <f t="shared" si="5"/>
        <v>12</v>
      </c>
      <c r="CG13" s="126"/>
      <c r="CH13" s="74" t="str">
        <f t="shared" si="27"/>
        <v>Vitaly Khomitsevich</v>
      </c>
      <c r="CI13" s="278">
        <f t="shared" si="6"/>
        <v>0</v>
      </c>
      <c r="CJ13" s="85" t="str">
        <f t="shared" si="7"/>
        <v/>
      </c>
      <c r="CK13" s="70" t="str">
        <f t="shared" si="7"/>
        <v/>
      </c>
      <c r="CL13" s="70" t="str">
        <f t="shared" si="7"/>
        <v/>
      </c>
      <c r="CM13" s="70" t="str">
        <f t="shared" si="7"/>
        <v/>
      </c>
      <c r="CN13" s="86" t="str">
        <f t="shared" si="7"/>
        <v/>
      </c>
      <c r="CO13" s="79">
        <f t="shared" si="28"/>
        <v>0</v>
      </c>
      <c r="CP13" s="52"/>
      <c r="CQ13" s="249"/>
      <c r="CR13" s="27">
        <f t="shared" si="8"/>
        <v>12</v>
      </c>
      <c r="CS13" s="258">
        <f>RANK(DP13,$DP$3:$DP$20)+COUNTIF(DP$3:DP13,DP13)-1</f>
        <v>14</v>
      </c>
      <c r="CT13" s="32">
        <f t="shared" si="44"/>
        <v>11</v>
      </c>
      <c r="CU13" s="423">
        <f>VLOOKUP(CW13,Draw!$B$3:$C$42,2,FALSE)</f>
        <v>15</v>
      </c>
      <c r="CV13" s="185">
        <f>VLOOKUP(CW13,Draw!$B$3:$C$42,2,FALSE)</f>
        <v>15</v>
      </c>
      <c r="CW13" s="33" t="str">
        <f t="shared" si="45"/>
        <v>Harald Simon</v>
      </c>
      <c r="CX13" s="4" t="str">
        <f t="shared" si="46"/>
        <v/>
      </c>
      <c r="CY13" s="4" t="str">
        <f t="shared" si="46"/>
        <v/>
      </c>
      <c r="CZ13" s="4" t="str">
        <f t="shared" si="46"/>
        <v/>
      </c>
      <c r="DA13" s="4" t="str">
        <f t="shared" si="46"/>
        <v/>
      </c>
      <c r="DB13" s="34" t="str">
        <f t="shared" si="46"/>
        <v/>
      </c>
      <c r="DC13" s="250">
        <f t="shared" si="12"/>
        <v>0</v>
      </c>
      <c r="DD13" s="243">
        <f t="shared" si="13"/>
        <v>0</v>
      </c>
      <c r="DE13" s="236">
        <f t="shared" si="29"/>
        <v>0</v>
      </c>
      <c r="DF13" s="232">
        <f t="shared" si="14"/>
        <v>0</v>
      </c>
      <c r="DG13" s="234">
        <f t="shared" si="30"/>
        <v>0</v>
      </c>
      <c r="DH13" s="232">
        <f t="shared" si="15"/>
        <v>0</v>
      </c>
      <c r="DI13" s="41">
        <f t="shared" si="31"/>
        <v>0</v>
      </c>
      <c r="DJ13" s="271">
        <f t="shared" si="16"/>
        <v>0</v>
      </c>
      <c r="DK13" s="602">
        <f t="shared" si="32"/>
        <v>0</v>
      </c>
      <c r="DL13" s="281">
        <f t="shared" si="17"/>
        <v>0</v>
      </c>
      <c r="DM13" s="644">
        <f t="shared" si="43"/>
        <v>4.4999999999999998E-7</v>
      </c>
      <c r="DN13" s="285">
        <f t="shared" si="18"/>
        <v>0</v>
      </c>
      <c r="DO13" s="285">
        <f t="shared" si="19"/>
        <v>0</v>
      </c>
      <c r="DP13" s="648">
        <f t="shared" si="33"/>
        <v>4.4999999999999998E-7</v>
      </c>
      <c r="DQ13" s="595"/>
      <c r="DR13" s="205">
        <f>IF($DN$13=$DN$3,$CV$13,"")</f>
        <v>15</v>
      </c>
      <c r="DS13" s="4">
        <f>IF($DN$13=$DN$4,$CV$13,"")</f>
        <v>15</v>
      </c>
      <c r="DT13" s="4">
        <f>IF($DN$13=$DN$5,$CV$13,"")</f>
        <v>15</v>
      </c>
      <c r="DU13" s="4">
        <f>IF($DN$13=$DN$6,$CV$13,"")</f>
        <v>15</v>
      </c>
      <c r="DV13" s="4">
        <f>IF($DN$13=$DN$7,$CV$13,"")</f>
        <v>15</v>
      </c>
      <c r="DW13" s="4">
        <f>IF($DN$13=$DN$8,$CV$13,"")</f>
        <v>15</v>
      </c>
      <c r="DX13" s="4">
        <f>IF($DN$13=$DN$9,$CV$13,"")</f>
        <v>15</v>
      </c>
      <c r="DY13" s="4">
        <f>IF($DN$13=$DN$10,$CV$13,"")</f>
        <v>15</v>
      </c>
      <c r="DZ13" s="4">
        <f>IF($DN$13=$DN$11,$CV$13,"")</f>
        <v>15</v>
      </c>
      <c r="EA13" s="4">
        <f>IF($DN$13=$DN$12,$CV$13,"")</f>
        <v>15</v>
      </c>
      <c r="EB13" s="208"/>
      <c r="EC13" s="4">
        <f>IF($DN$13=$DN$14,$CV$13,"")</f>
        <v>15</v>
      </c>
      <c r="ED13" s="4">
        <f>IF($DN$13=$DN$15,$CV$13,"")</f>
        <v>15</v>
      </c>
      <c r="EE13" s="4">
        <f>IF($DN$13=$DN$16,$CV$13,"")</f>
        <v>15</v>
      </c>
      <c r="EF13" s="4">
        <f>IF($DN$13=$DN$17,$CV$13,"")</f>
        <v>15</v>
      </c>
      <c r="EG13" s="225">
        <f>IF($DN$13=$DN$18,$CV$13,"")</f>
        <v>15</v>
      </c>
      <c r="EH13" s="215">
        <f>$AG$4</f>
        <v>15</v>
      </c>
      <c r="EI13" s="205" t="b">
        <f>IF($DR$13="","",$FT$13)</f>
        <v>0</v>
      </c>
      <c r="EJ13" s="4" t="b">
        <f>IF($DS$13="","",$FU$13)</f>
        <v>0</v>
      </c>
      <c r="EK13" s="4" t="b">
        <f>IF($DT$13="","",$FV$13)</f>
        <v>0</v>
      </c>
      <c r="EL13" s="4" t="b">
        <f>IF($DU$13="","",$FW$13)</f>
        <v>0</v>
      </c>
      <c r="EM13" s="4" t="b">
        <f>IF($DV$13="","",$FX$13)</f>
        <v>0</v>
      </c>
      <c r="EN13" s="4" t="b">
        <f>IF($DW$13="","",$FY$13)</f>
        <v>0</v>
      </c>
      <c r="EO13" s="4" t="b">
        <f>IF($DX$13="","",$FZ$13)</f>
        <v>0</v>
      </c>
      <c r="EP13" s="4" t="b">
        <f>IF($DY$13="","",$GA$13)</f>
        <v>0</v>
      </c>
      <c r="EQ13" s="4" t="b">
        <f>IF($DZ$13="","",$GB$13)</f>
        <v>0</v>
      </c>
      <c r="ER13" s="4" t="b">
        <f>IF($EA$13="","",$GC$13)</f>
        <v>0</v>
      </c>
      <c r="ES13" s="208"/>
      <c r="ET13" s="4" t="b">
        <f>IF($EC$13="","",$GE$13)</f>
        <v>0</v>
      </c>
      <c r="EU13" s="4" t="b">
        <f>IF($ED$13="","",$GF$13)</f>
        <v>0</v>
      </c>
      <c r="EV13" s="4" t="b">
        <f>IF($EE$13="","",$GG$13)</f>
        <v>0</v>
      </c>
      <c r="EW13" s="4" t="b">
        <f>IF($EF$13="","",$GH$13)</f>
        <v>0</v>
      </c>
      <c r="EX13" s="225" t="b">
        <f>IF($EG$13="","",$GI$13)</f>
        <v>0</v>
      </c>
      <c r="EY13" s="230">
        <f>COUNTIF($EI$13:$EX$13,$EH$13)</f>
        <v>0</v>
      </c>
      <c r="FA13" s="130">
        <f t="shared" si="20"/>
        <v>15</v>
      </c>
      <c r="FB13" s="13" t="str">
        <f t="shared" si="20"/>
        <v>Harald Simon</v>
      </c>
      <c r="FC13" s="129">
        <f t="shared" si="34"/>
        <v>0</v>
      </c>
      <c r="FD13" s="129">
        <f t="shared" si="21"/>
        <v>0</v>
      </c>
      <c r="FE13" s="504">
        <v>0</v>
      </c>
      <c r="FF13" s="129">
        <f t="shared" si="35"/>
        <v>0</v>
      </c>
      <c r="FG13" s="483">
        <f t="shared" si="22"/>
        <v>4.4999999999999998E-7</v>
      </c>
      <c r="FH13" s="483">
        <f t="shared" si="36"/>
        <v>4.4999999999999998E-7</v>
      </c>
      <c r="FI13" s="176">
        <f t="shared" si="37"/>
        <v>4.4999999999999998E-7</v>
      </c>
      <c r="FJ13" s="484">
        <f t="shared" si="23"/>
        <v>4.4999999999999998E-7</v>
      </c>
      <c r="FK13" s="762">
        <f t="shared" si="24"/>
        <v>14</v>
      </c>
      <c r="FL13" s="762">
        <v>11</v>
      </c>
      <c r="FM13" s="762">
        <f t="shared" si="38"/>
        <v>0</v>
      </c>
      <c r="FN13" s="512"/>
      <c r="FO13" s="13" t="str">
        <f t="shared" si="39"/>
        <v>Vitaly Khomitsevich</v>
      </c>
      <c r="FP13" s="496">
        <f t="shared" si="42"/>
        <v>0</v>
      </c>
      <c r="FQ13" s="13">
        <f t="shared" si="25"/>
        <v>0</v>
      </c>
      <c r="FS13" s="215">
        <f>$AG$4</f>
        <v>15</v>
      </c>
      <c r="FT13" s="205" t="b">
        <f>IF($AB$15&gt;$AB$13,$FS$3,IF($AB$15&lt;$AB$13,$FS$13))</f>
        <v>0</v>
      </c>
      <c r="FU13" s="4" t="b">
        <f>IF($AB$38&gt;$AB$36,$FS$4,IF($AB$38&lt;$AB$36,$FS$13))</f>
        <v>0</v>
      </c>
      <c r="FV13" s="4" t="b">
        <f>IF($AB$14&gt;$AB$13,$FS$5,IF($AB$14&lt;$AB$13,$FS$13))</f>
        <v>0</v>
      </c>
      <c r="FW13" s="4" t="b">
        <f>IF($AB$39&gt;$AB$36,$FS$6,IF($AB$39&lt;$AB$36,$FS$13))</f>
        <v>0</v>
      </c>
      <c r="FX13" s="4" t="b">
        <f>IF($M$24&gt;$M$26,$FS$7,IF($M$24&lt;$M$26,$FS$13))</f>
        <v>0</v>
      </c>
      <c r="FY13" s="4" t="b">
        <f>IF($AQ$18&gt;$AQ$19,$FS$8,IF($AQ$18&lt;$AQ$19,$FS$13))</f>
        <v>0</v>
      </c>
      <c r="FZ13" s="4" t="b">
        <f>IF($M$24&gt;$M$26,$FS$9,IF($M$24&lt;$M$26,$FS$13))</f>
        <v>0</v>
      </c>
      <c r="GA13" s="4" t="b">
        <f>IF($AB$37&gt;$AB$36,$FS$10,IF($AB$37&lt;$AB$36,$FS$13))</f>
        <v>0</v>
      </c>
      <c r="GB13" s="4" t="b">
        <f>IF($M$27&gt;$M$26,$FS$11,IF($M$27&lt;$M$26,$FS$13))</f>
        <v>0</v>
      </c>
      <c r="GC13" s="4" t="b">
        <f>IF($M$40&gt;$M$43,$FS$12,IF($M$40&lt;$M$43,$FS$13))</f>
        <v>0</v>
      </c>
      <c r="GD13" s="208"/>
      <c r="GE13" s="4" t="b">
        <f>IF($AQ$19&gt;$AQ$16,$FS$13,IF($AQ$19&lt;$AQ$16,$FS$14))</f>
        <v>0</v>
      </c>
      <c r="GF13" s="4" t="b">
        <f>IF($M$43&gt;$M$42,$FS$13,IF($M$43&lt;$M$42,$FS$15))</f>
        <v>0</v>
      </c>
      <c r="GG13" s="4" t="b">
        <f>IF($AQ$19&gt;$AQ$17,$FS$13,IF($AQ$19&lt;$AQ$17,$FS$16))</f>
        <v>0</v>
      </c>
      <c r="GH13" s="4" t="b">
        <f>IF($M$43&gt;$M$41,$FS$13,IF($M$43&lt;$M$41,$FS$17))</f>
        <v>0</v>
      </c>
      <c r="GI13" s="225" t="b">
        <f>IF($AB$13&gt;$AB$12,$FS$13,IF($AB$13&lt;$AB$12,$FS$18))</f>
        <v>0</v>
      </c>
      <c r="GK13" s="8">
        <v>11</v>
      </c>
      <c r="GL13" s="205"/>
      <c r="GM13" s="4"/>
      <c r="GN13" s="4"/>
      <c r="GO13" s="4"/>
      <c r="GP13" s="225"/>
      <c r="GQ13" s="230">
        <f t="shared" si="41"/>
        <v>0</v>
      </c>
      <c r="GR13" s="601">
        <f t="shared" si="40"/>
        <v>0</v>
      </c>
      <c r="GW13" s="1144"/>
      <c r="GX13" s="230" t="str">
        <f>IF($N$12="","",IF($IW$13=$GX$3,$IX$13,IF(AND($H$13=$GX$3,$L$13&lt;&gt;""),$L$13,IF(AND($H$13=$GX$3,$L$13=""),$M$13,""))))</f>
        <v/>
      </c>
      <c r="GY13" s="301">
        <v>79</v>
      </c>
      <c r="GZ13" s="5" t="str">
        <f t="shared" ref="GZ13:GZ76" si="105">IF(GX13="","",GY13)</f>
        <v/>
      </c>
      <c r="HA13" s="95" t="str">
        <f t="shared" si="62"/>
        <v/>
      </c>
      <c r="HB13" s="5"/>
      <c r="HC13" s="95" t="str">
        <f t="shared" ref="HC13:HC76" si="106">IF(GX13="","",GX13)</f>
        <v/>
      </c>
      <c r="HG13" s="1144"/>
      <c r="HH13" s="230" t="str">
        <f>IF($N$12="","",IF($IW$13=$HH$3,$IX$13,IF(AND($H$13=$HH$3,$L$13&lt;&gt;""),$L$13,IF(AND($H$13=$HH$3,$L$13=""),$M$13,""))))</f>
        <v/>
      </c>
      <c r="HI13" s="301">
        <v>79</v>
      </c>
      <c r="HJ13" s="5" t="str">
        <f t="shared" ref="HJ13:HJ76" si="107">IF(HH13="","",HI13)</f>
        <v/>
      </c>
      <c r="HK13" s="95" t="str">
        <f t="shared" si="63"/>
        <v/>
      </c>
      <c r="HL13" s="5"/>
      <c r="HM13" s="95" t="str">
        <f t="shared" si="64"/>
        <v/>
      </c>
      <c r="HN13" s="1149"/>
      <c r="HO13" s="131" t="str">
        <f>IF($H13="",$D13,$H13)</f>
        <v>Rene Stellingwerf</v>
      </c>
      <c r="HP13" s="884" t="str">
        <f>M13</f>
        <v/>
      </c>
      <c r="HQ13" s="327" t="str">
        <f>IF($L13="","",$L13)</f>
        <v/>
      </c>
      <c r="HR13" s="327">
        <v>0.03</v>
      </c>
      <c r="HS13" s="327" t="str">
        <f t="shared" si="65"/>
        <v/>
      </c>
      <c r="HT13" s="327" t="e">
        <f>RANK(HS13,HS12:HS15)+COUNTIF(HS12:HS13,HS13)-1</f>
        <v>#VALUE!</v>
      </c>
      <c r="HU13" s="327" t="str">
        <f>IF(HQ13="",HO13,HO13&amp;" ("&amp;HQ13&amp;")")</f>
        <v>Rene Stellingwerf</v>
      </c>
      <c r="HV13" s="328">
        <v>2</v>
      </c>
      <c r="HW13" s="337" t="str">
        <f>IF(N12="","",VLOOKUP(HV13,HT12:HU15,2,FALSE))</f>
        <v/>
      </c>
      <c r="HX13" s="1149"/>
      <c r="HY13" s="131" t="str">
        <f>IF($W13="",$S13,$W13)</f>
        <v>Harald Simon</v>
      </c>
      <c r="HZ13" s="327" t="str">
        <f>AB13</f>
        <v/>
      </c>
      <c r="IA13" s="327" t="str">
        <f>IF($AA13="","",$AA13)</f>
        <v/>
      </c>
      <c r="IB13" s="327">
        <v>0.03</v>
      </c>
      <c r="IC13" s="327" t="str">
        <f t="shared" si="66"/>
        <v/>
      </c>
      <c r="ID13" s="327" t="e">
        <f>RANK(IC13,IC12:IC15)+COUNTIF(IC12:IC13,IC13)-1</f>
        <v>#VALUE!</v>
      </c>
      <c r="IE13" s="327" t="str">
        <f>IF(IA13="",HY13,HY13&amp;" ("&amp;IA13&amp;")")</f>
        <v>Harald Simon</v>
      </c>
      <c r="IF13" s="344">
        <v>2</v>
      </c>
      <c r="IG13" s="337" t="str">
        <f>IF(AC12="","",VLOOKUP(IF13,ID12:IE15,2,FALSE))</f>
        <v/>
      </c>
      <c r="IH13" s="1149"/>
      <c r="II13" s="131" t="str">
        <f>IF($AL13="",$AH13,$AL13)</f>
        <v>Igor Kononov</v>
      </c>
      <c r="IJ13" s="327" t="str">
        <f>AQ13</f>
        <v/>
      </c>
      <c r="IK13" s="327" t="str">
        <f>IF($AP13="","",$AP13)</f>
        <v/>
      </c>
      <c r="IL13" s="327">
        <v>0.03</v>
      </c>
      <c r="IM13" s="327" t="str">
        <f t="shared" si="67"/>
        <v/>
      </c>
      <c r="IN13" s="327" t="e">
        <f>RANK(IM13,IM12:IM15)+COUNTIF(IM12:IM13,IM13)-1</f>
        <v>#VALUE!</v>
      </c>
      <c r="IO13" s="327" t="str">
        <f>IF(IK13="",II13,II13&amp;" ("&amp;IK13&amp;")")</f>
        <v>Igor Kononov</v>
      </c>
      <c r="IP13" s="344">
        <v>2</v>
      </c>
      <c r="IQ13" s="337" t="str">
        <f>IF(AR12="","",VLOOKUP(IP13,IN12:IO15,2,FALSE))</f>
        <v/>
      </c>
      <c r="IU13" s="1112"/>
      <c r="IV13" s="698"/>
      <c r="IW13" s="699" t="str">
        <f t="shared" si="68"/>
        <v/>
      </c>
      <c r="IX13" s="700"/>
      <c r="IZ13" s="1112"/>
      <c r="JA13" s="698"/>
      <c r="JB13" s="699" t="str">
        <f t="shared" si="69"/>
        <v/>
      </c>
      <c r="JC13" s="700"/>
      <c r="JE13" s="1112"/>
      <c r="JF13" s="698"/>
      <c r="JG13" s="699" t="str">
        <f t="shared" si="70"/>
        <v/>
      </c>
      <c r="JH13" s="700"/>
      <c r="JI13" s="687"/>
      <c r="JJ13" s="1335"/>
      <c r="JK13" s="876">
        <v>79</v>
      </c>
      <c r="JL13" s="879" t="str">
        <f t="shared" ref="JL13:JL76" si="108">IF(JM13="","",RANK(JM13,JM$12:JM$91))</f>
        <v/>
      </c>
      <c r="JM13" s="655" t="str">
        <f t="shared" si="71"/>
        <v/>
      </c>
      <c r="JN13" s="869" t="str">
        <f>IF($N$12="","",IF(AND($D$13=JL$11,$F$13&lt;&gt;""),$F$13,IF(AND($D$13=JL$11,$L$13&lt;&gt;""),$L$13,IF($D$13=JL$11,$M$13,""))))</f>
        <v/>
      </c>
      <c r="JO13" s="879" t="str">
        <f t="shared" ref="JO13:JO76" si="109">IF(JP13="","",RANK(JP13,JP$12:JP$91))</f>
        <v/>
      </c>
      <c r="JP13" s="655" t="str">
        <f t="shared" si="72"/>
        <v/>
      </c>
      <c r="JQ13" s="869" t="str">
        <f>IF($N$12="","",IF(AND($D$13=JO$11,$F$13&lt;&gt;""),$F$13,IF(AND($D$13=JO$11,$L$13&lt;&gt;""),$L$13,IF($D$13=JO$11,$M$13,""))))</f>
        <v/>
      </c>
      <c r="JR13" s="879" t="str">
        <f t="shared" si="73"/>
        <v/>
      </c>
      <c r="JS13" s="655" t="str">
        <f t="shared" si="74"/>
        <v/>
      </c>
      <c r="JT13" s="869" t="str">
        <f>IF($N$12="","",IF(AND($D$13=JR$11,$F$13&lt;&gt;""),$F$13,IF(AND($D$13=JR$11,$L$13&lt;&gt;""),$L$13,IF($D$13=JR$11,$M$13,""))))</f>
        <v/>
      </c>
      <c r="JU13" s="879" t="str">
        <f t="shared" si="75"/>
        <v/>
      </c>
      <c r="JV13" s="655" t="str">
        <f t="shared" si="76"/>
        <v/>
      </c>
      <c r="JW13" s="869" t="str">
        <f>IF($N$12="","",IF(AND($D$13=JU$11,$F$13&lt;&gt;""),$F$13,IF(AND($D$13=JU$11,$L$13&lt;&gt;""),$L$13,IF($D$13=JU$11,$M$13,""))))</f>
        <v/>
      </c>
      <c r="JX13" s="879" t="str">
        <f t="shared" si="77"/>
        <v/>
      </c>
      <c r="JY13" s="655" t="str">
        <f t="shared" si="78"/>
        <v/>
      </c>
      <c r="JZ13" s="869" t="str">
        <f>IF($N$12="","",IF(AND($D$13=JX$11,$F$13&lt;&gt;""),$F$13,IF(AND($D$13=JX$11,$L$13&lt;&gt;""),$L$13,IF($D$13=JX$11,$M$13,""))))</f>
        <v/>
      </c>
      <c r="KA13" s="879" t="str">
        <f t="shared" si="79"/>
        <v/>
      </c>
      <c r="KB13" s="655" t="str">
        <f t="shared" si="80"/>
        <v/>
      </c>
      <c r="KC13" s="869" t="str">
        <f>IF($N$12="","",IF(AND($D$13=KA$11,$F$13&lt;&gt;""),$F$13,IF(AND($D$13=KA$11,$L$13&lt;&gt;""),$L$13,IF($D$13=KA$11,$M$13,""))))</f>
        <v/>
      </c>
      <c r="KD13" s="879" t="str">
        <f t="shared" si="81"/>
        <v/>
      </c>
      <c r="KE13" s="655" t="str">
        <f t="shared" si="82"/>
        <v/>
      </c>
      <c r="KF13" s="869" t="str">
        <f>IF($N$12="","",IF(AND($D$13=KD$11,$F$13&lt;&gt;""),$F$13,IF(AND($D$13=KD$11,$L$13&lt;&gt;""),$L$13,IF($D$13=KD$11,$M$13,""))))</f>
        <v/>
      </c>
      <c r="KG13" s="879" t="str">
        <f t="shared" si="83"/>
        <v/>
      </c>
      <c r="KH13" s="655" t="str">
        <f t="shared" si="84"/>
        <v/>
      </c>
      <c r="KI13" s="869" t="str">
        <f>IF($N$12="","",IF(AND($D$13=KG$11,$F$13&lt;&gt;""),$F$13,IF(AND($D$13=KG$11,$L$13&lt;&gt;""),$L$13,IF($D$13=KG$11,$M$13,""))))</f>
        <v/>
      </c>
      <c r="KJ13" s="879" t="str">
        <f t="shared" si="85"/>
        <v/>
      </c>
      <c r="KK13" s="655" t="str">
        <f t="shared" si="86"/>
        <v/>
      </c>
      <c r="KL13" s="869" t="str">
        <f>IF($N$12="","",IF(AND($D$13=KJ$11,$F$13&lt;&gt;""),$F$13,IF(AND($D$13=KJ$11,$L$13&lt;&gt;""),$L$13,IF($D$13=KJ$11,$M$13,""))))</f>
        <v/>
      </c>
      <c r="KM13" s="879" t="str">
        <f t="shared" si="87"/>
        <v/>
      </c>
      <c r="KN13" s="655" t="str">
        <f t="shared" si="88"/>
        <v/>
      </c>
      <c r="KO13" s="869" t="str">
        <f>IF($N$12="","",IF(AND($D$13=KM$11,$F$13&lt;&gt;""),$F$13,IF(AND($D$13=KM$11,$L$13&lt;&gt;""),$L$13,IF($D$13=KM$11,$M$13,""))))</f>
        <v/>
      </c>
      <c r="KP13" s="879" t="str">
        <f t="shared" si="89"/>
        <v/>
      </c>
      <c r="KQ13" s="655" t="str">
        <f t="shared" si="90"/>
        <v/>
      </c>
      <c r="KR13" s="869" t="str">
        <f>IF($N$12="","",IF(AND($D$13=KP$11,$F$13&lt;&gt;""),$F$13,IF(AND($D$13=KP$11,$L$13&lt;&gt;""),$L$13,IF($D$13=KP$11,$M$13,""))))</f>
        <v/>
      </c>
      <c r="KS13" s="879" t="str">
        <f t="shared" si="91"/>
        <v/>
      </c>
      <c r="KT13" s="655" t="str">
        <f t="shared" si="92"/>
        <v/>
      </c>
      <c r="KU13" s="869" t="str">
        <f>IF($N$12="","",IF(AND($D$13=KS$11,$F$13&lt;&gt;""),$F$13,IF(AND($D$13=KS$11,$L$13&lt;&gt;""),$L$13,IF($D$13=KS$11,$M$13,""))))</f>
        <v/>
      </c>
      <c r="KV13" s="879" t="str">
        <f t="shared" si="93"/>
        <v/>
      </c>
      <c r="KW13" s="655" t="str">
        <f t="shared" si="94"/>
        <v/>
      </c>
      <c r="KX13" s="869" t="str">
        <f>IF($N$12="","",IF(AND($D$13=KV$11,$F$13&lt;&gt;""),$F$13,IF(AND($D$13=KV$11,$L$13&lt;&gt;""),$L$13,IF($D$13=KV$11,$M$13,""))))</f>
        <v/>
      </c>
      <c r="KY13" s="879" t="str">
        <f t="shared" si="95"/>
        <v/>
      </c>
      <c r="KZ13" s="655" t="str">
        <f t="shared" si="96"/>
        <v/>
      </c>
      <c r="LA13" s="869" t="str">
        <f>IF($N$12="","",IF(AND($D$13=KY$11,$F$13&lt;&gt;""),$F$13,IF(AND($D$13=KY$11,$L$13&lt;&gt;""),$L$13,IF($D$13=KY$11,$M$13,""))))</f>
        <v/>
      </c>
      <c r="LB13" s="879" t="str">
        <f t="shared" si="97"/>
        <v/>
      </c>
      <c r="LC13" s="655" t="str">
        <f t="shared" si="98"/>
        <v/>
      </c>
      <c r="LD13" s="869" t="str">
        <f>IF($N$12="","",IF(AND($D$13=LB$11,$F$13&lt;&gt;""),$F$13,IF(AND($D$13=LB$11,$L$13&lt;&gt;""),$L$13,IF($D$13=LB$11,$M$13,""))))</f>
        <v/>
      </c>
      <c r="LE13" s="879" t="str">
        <f t="shared" si="99"/>
        <v/>
      </c>
      <c r="LF13" s="655" t="str">
        <f t="shared" si="100"/>
        <v/>
      </c>
      <c r="LG13" s="869" t="str">
        <f>IF($N$12="","",IF(AND($D$13=LE$11,$F$13&lt;&gt;""),$F$13,IF(AND($D$13=LE$11,$L$13&lt;&gt;""),$L$13,IF($D$13=LE$11,$M$13,""))))</f>
        <v/>
      </c>
      <c r="LH13"/>
      <c r="LI13"/>
      <c r="LJ13"/>
      <c r="LK13"/>
      <c r="LL13"/>
      <c r="LM13"/>
    </row>
    <row r="14" spans="1:325" ht="12.75" customHeight="1">
      <c r="A14" s="1212"/>
      <c r="B14" s="39">
        <v>8</v>
      </c>
      <c r="C14" s="102">
        <f t="shared" si="101"/>
        <v>7</v>
      </c>
      <c r="D14" s="517" t="str">
        <f t="shared" si="102"/>
        <v>Gunter Bauer</v>
      </c>
      <c r="E14" s="1011"/>
      <c r="F14" s="1015" t="str">
        <f t="shared" si="47"/>
        <v/>
      </c>
      <c r="G14" s="545"/>
      <c r="H14" s="1198" t="str">
        <f t="shared" si="48"/>
        <v/>
      </c>
      <c r="I14" s="1198"/>
      <c r="J14" s="1198"/>
      <c r="K14" s="1198"/>
      <c r="L14" s="508"/>
      <c r="M14" s="146" t="str">
        <f>IF(N12="","",IF(N12="w",3,IF(N13="w",2,IF(N14="w",1,IF(N15="w",0,0)))))</f>
        <v/>
      </c>
      <c r="N14" s="707"/>
      <c r="O14" s="268"/>
      <c r="P14" s="1212"/>
      <c r="Q14" s="39">
        <v>3</v>
      </c>
      <c r="R14" s="102">
        <f t="shared" si="49"/>
        <v>10</v>
      </c>
      <c r="S14" s="517" t="str">
        <f t="shared" si="50"/>
        <v>Franz Zorn</v>
      </c>
      <c r="T14" s="1011"/>
      <c r="U14" s="1015" t="str">
        <f t="shared" si="51"/>
        <v/>
      </c>
      <c r="V14" s="545"/>
      <c r="W14" s="1198" t="str">
        <f t="shared" si="52"/>
        <v/>
      </c>
      <c r="X14" s="1198"/>
      <c r="Y14" s="1198"/>
      <c r="Z14" s="1198"/>
      <c r="AA14" s="508"/>
      <c r="AB14" s="146" t="str">
        <f>IF(AC12="","",IF(AC12="w",3,IF(AC13="w",2,IF(AC14="w",1,IF(AC15="w",0,0)))))</f>
        <v/>
      </c>
      <c r="AC14" s="724"/>
      <c r="AD14" s="269"/>
      <c r="AE14" s="1212"/>
      <c r="AF14" s="39">
        <v>1</v>
      </c>
      <c r="AG14" s="102">
        <f t="shared" si="53"/>
        <v>9</v>
      </c>
      <c r="AH14" s="517" t="str">
        <f t="shared" si="54"/>
        <v>Per-Anders Lindstrom</v>
      </c>
      <c r="AI14" s="1011"/>
      <c r="AJ14" s="1015" t="str">
        <f t="shared" si="55"/>
        <v/>
      </c>
      <c r="AK14" s="545"/>
      <c r="AL14" s="1198" t="str">
        <f t="shared" si="56"/>
        <v/>
      </c>
      <c r="AM14" s="1198"/>
      <c r="AN14" s="1198"/>
      <c r="AO14" s="1198"/>
      <c r="AP14" s="508"/>
      <c r="AQ14" s="146" t="str">
        <f>IF(AR12="","",IF(AR12="w",3,IF(AR13="w",2,IF(AR14="w",1,IF(AR15="w",0,0)))))</f>
        <v/>
      </c>
      <c r="AR14" s="724"/>
      <c r="AS14" s="268"/>
      <c r="AT14" s="195" t="str">
        <f t="shared" si="57"/>
        <v/>
      </c>
      <c r="AU14" s="65" t="str">
        <f t="shared" si="57"/>
        <v/>
      </c>
      <c r="AV14" s="94" t="str">
        <f t="shared" si="58"/>
        <v>Dimitry Khomitsevich</v>
      </c>
      <c r="AW14" s="3" t="str">
        <f t="shared" si="59"/>
        <v/>
      </c>
      <c r="AX14" s="4" t="str">
        <f t="shared" si="59"/>
        <v/>
      </c>
      <c r="AY14" s="4" t="str">
        <f t="shared" si="59"/>
        <v/>
      </c>
      <c r="AZ14" s="4" t="str">
        <f t="shared" si="59"/>
        <v/>
      </c>
      <c r="BA14" s="26" t="str">
        <f t="shared" si="59"/>
        <v/>
      </c>
      <c r="BB14" s="189">
        <f t="shared" si="59"/>
        <v>0</v>
      </c>
      <c r="BD14" s="192" t="str">
        <f t="shared" si="60"/>
        <v/>
      </c>
      <c r="BE14" s="493" t="str">
        <f t="shared" si="103"/>
        <v/>
      </c>
      <c r="BF14" s="95" t="str">
        <f t="shared" si="103"/>
        <v/>
      </c>
      <c r="BG14"/>
      <c r="BH14" s="390">
        <f t="shared" si="104"/>
        <v>4</v>
      </c>
      <c r="BI14" s="974">
        <v>16</v>
      </c>
      <c r="BJ14" s="762">
        <f>IF(AR36&lt;&gt;"",22,0)</f>
        <v>0</v>
      </c>
      <c r="BK14" s="451">
        <v>14</v>
      </c>
      <c r="BN14" s="8" t="str">
        <f>$M14</f>
        <v/>
      </c>
      <c r="BS14" s="8" t="str">
        <f>$AB14</f>
        <v/>
      </c>
      <c r="BX14" s="8" t="str">
        <f>$AQ14</f>
        <v/>
      </c>
      <c r="BY14" s="8"/>
      <c r="BZ14" s="762">
        <v>3</v>
      </c>
      <c r="CA14" s="762" t="str">
        <f t="shared" si="61"/>
        <v/>
      </c>
      <c r="CB14" s="13">
        <v>3</v>
      </c>
      <c r="CC14" s="49">
        <f t="shared" si="4"/>
        <v>1</v>
      </c>
      <c r="CD14" s="50" t="str">
        <f t="shared" si="26"/>
        <v>=</v>
      </c>
      <c r="CE14" s="31">
        <v>12</v>
      </c>
      <c r="CF14" s="121">
        <f t="shared" si="5"/>
        <v>10</v>
      </c>
      <c r="CG14" s="126"/>
      <c r="CH14" s="74" t="str">
        <f t="shared" si="27"/>
        <v>Hans Weber</v>
      </c>
      <c r="CI14" s="278">
        <f t="shared" si="6"/>
        <v>0</v>
      </c>
      <c r="CJ14" s="85" t="str">
        <f t="shared" si="7"/>
        <v/>
      </c>
      <c r="CK14" s="70" t="str">
        <f t="shared" si="7"/>
        <v/>
      </c>
      <c r="CL14" s="70" t="str">
        <f t="shared" si="7"/>
        <v/>
      </c>
      <c r="CM14" s="70" t="str">
        <f t="shared" si="7"/>
        <v/>
      </c>
      <c r="CN14" s="86" t="str">
        <f t="shared" si="7"/>
        <v/>
      </c>
      <c r="CO14" s="79">
        <f t="shared" si="28"/>
        <v>0</v>
      </c>
      <c r="CP14" s="52"/>
      <c r="CQ14" s="249"/>
      <c r="CR14" s="27">
        <f t="shared" si="8"/>
        <v>10</v>
      </c>
      <c r="CS14" s="258">
        <f>RANK(DP14,$DP$3:$DP$20)+COUNTIF(DP$3:DP14,DP14)-1</f>
        <v>11</v>
      </c>
      <c r="CT14" s="32">
        <f t="shared" si="44"/>
        <v>12</v>
      </c>
      <c r="CU14" s="423">
        <f>VLOOKUP(CW14,Draw!$B$3:$C$42,2,FALSE)</f>
        <v>11</v>
      </c>
      <c r="CV14" s="185">
        <f>VLOOKUP(CW14,Draw!$B$3:$C$42,2,FALSE)</f>
        <v>11</v>
      </c>
      <c r="CW14" s="33" t="str">
        <f t="shared" si="45"/>
        <v>Vitaly Khomitsevich</v>
      </c>
      <c r="CX14" s="4" t="str">
        <f t="shared" si="46"/>
        <v/>
      </c>
      <c r="CY14" s="4" t="str">
        <f t="shared" si="46"/>
        <v/>
      </c>
      <c r="CZ14" s="4" t="str">
        <f t="shared" si="46"/>
        <v/>
      </c>
      <c r="DA14" s="4" t="str">
        <f t="shared" si="46"/>
        <v/>
      </c>
      <c r="DB14" s="34" t="str">
        <f t="shared" si="46"/>
        <v/>
      </c>
      <c r="DC14" s="250">
        <f t="shared" si="12"/>
        <v>0</v>
      </c>
      <c r="DD14" s="243">
        <f t="shared" si="13"/>
        <v>0</v>
      </c>
      <c r="DE14" s="236">
        <f t="shared" si="29"/>
        <v>0</v>
      </c>
      <c r="DF14" s="232">
        <f t="shared" si="14"/>
        <v>0</v>
      </c>
      <c r="DG14" s="234">
        <f t="shared" si="30"/>
        <v>0</v>
      </c>
      <c r="DH14" s="232">
        <f t="shared" si="15"/>
        <v>0</v>
      </c>
      <c r="DI14" s="41">
        <f t="shared" si="31"/>
        <v>0</v>
      </c>
      <c r="DJ14" s="271">
        <f t="shared" si="16"/>
        <v>0</v>
      </c>
      <c r="DK14" s="602">
        <f t="shared" si="32"/>
        <v>0</v>
      </c>
      <c r="DL14" s="281">
        <f t="shared" si="17"/>
        <v>0</v>
      </c>
      <c r="DM14" s="643">
        <f t="shared" si="43"/>
        <v>4.8999999999999997E-7</v>
      </c>
      <c r="DN14" s="284">
        <f t="shared" si="18"/>
        <v>0</v>
      </c>
      <c r="DO14" s="284">
        <f t="shared" si="19"/>
        <v>0</v>
      </c>
      <c r="DP14" s="647">
        <f t="shared" si="33"/>
        <v>4.8999999999999997E-7</v>
      </c>
      <c r="DQ14" s="594"/>
      <c r="DR14" s="205">
        <f>IF($DN$14=$DN$3,$CV$14,"")</f>
        <v>11</v>
      </c>
      <c r="DS14" s="4">
        <f>IF($DN$14=$DN$4,$CV$14,"")</f>
        <v>11</v>
      </c>
      <c r="DT14" s="4">
        <f>IF($DN$14=$DN$5,$CV$14,"")</f>
        <v>11</v>
      </c>
      <c r="DU14" s="4">
        <f>IF($DN$14=$DN$6,$CV$14,"")</f>
        <v>11</v>
      </c>
      <c r="DV14" s="4">
        <f>IF($DN$14=$DN$7,$CV$14,"")</f>
        <v>11</v>
      </c>
      <c r="DW14" s="4">
        <f>IF($DN$14=$DN$8,$CV$14,"")</f>
        <v>11</v>
      </c>
      <c r="DX14" s="4">
        <f>IF($DN$14=$DN$9,$CV$14,"")</f>
        <v>11</v>
      </c>
      <c r="DY14" s="4">
        <f>IF($DN$14=$DN$10,$CV$14,"")</f>
        <v>11</v>
      </c>
      <c r="DZ14" s="4">
        <f>IF($DN$14=$DN$11,$CV$14,"")</f>
        <v>11</v>
      </c>
      <c r="EA14" s="4">
        <f>IF($DN$14=$DN$12,$CV$14,"")</f>
        <v>11</v>
      </c>
      <c r="EB14" s="4">
        <f>IF($DN$14=$DN$13,$CV$14,"")</f>
        <v>11</v>
      </c>
      <c r="EC14" s="208"/>
      <c r="ED14" s="4">
        <f>IF($DN$14=$DN$15,$CV$14,"")</f>
        <v>11</v>
      </c>
      <c r="EE14" s="4">
        <f>IF($DN$14=$DN$16,$CV$14,"")</f>
        <v>11</v>
      </c>
      <c r="EF14" s="4">
        <f>IF($DN$14=$DN$17,$CV$14,"")</f>
        <v>11</v>
      </c>
      <c r="EG14" s="225">
        <f>IF($DN$14=$DN$18,$CV$14,"")</f>
        <v>11</v>
      </c>
      <c r="EH14" s="215">
        <f>$AG$5</f>
        <v>11</v>
      </c>
      <c r="EI14" s="205" t="b">
        <f>IF($DR$14="","",$FT$14)</f>
        <v>0</v>
      </c>
      <c r="EJ14" s="4" t="b">
        <f>IF($DS$14="","",$FU$14)</f>
        <v>0</v>
      </c>
      <c r="EK14" s="4" t="b">
        <f>IF($DT$14="","",$FV$14)</f>
        <v>0</v>
      </c>
      <c r="EL14" s="4" t="b">
        <f>IF($DU$14="","",$FW$14)</f>
        <v>0</v>
      </c>
      <c r="EM14" s="4" t="b">
        <f>IF($DV$14="","",$FX$14)</f>
        <v>0</v>
      </c>
      <c r="EN14" s="4" t="b">
        <f>IF($DW$14="","",$FY$14)</f>
        <v>0</v>
      </c>
      <c r="EO14" s="4" t="b">
        <f>IF($DX$14="","",$FZ$14)</f>
        <v>0</v>
      </c>
      <c r="EP14" s="4" t="b">
        <f>IF($DY$14="","",$GA$14)</f>
        <v>0</v>
      </c>
      <c r="EQ14" s="4" t="b">
        <f>IF($DZ$14="","",$GB$14)</f>
        <v>0</v>
      </c>
      <c r="ER14" s="4" t="b">
        <f>IF($EA$14="","",$GC$14)</f>
        <v>0</v>
      </c>
      <c r="ES14" s="4" t="b">
        <f>IF($EB$14="","",$GD$14)</f>
        <v>0</v>
      </c>
      <c r="ET14" s="208"/>
      <c r="EU14" s="4" t="b">
        <f>IF($ED$14="","",$GF$14)</f>
        <v>0</v>
      </c>
      <c r="EV14" s="4" t="b">
        <f>IF($EE$14="","",$GG$14)</f>
        <v>0</v>
      </c>
      <c r="EW14" s="4" t="b">
        <f>IF($EF$14="","",$GH$14)</f>
        <v>0</v>
      </c>
      <c r="EX14" s="225" t="b">
        <f>IF($EG$14="","",$GI$14)</f>
        <v>0</v>
      </c>
      <c r="EY14" s="230">
        <f>COUNTIF($EI$14:$EX$14,$EH$14)</f>
        <v>0</v>
      </c>
      <c r="FA14" s="130">
        <f t="shared" si="20"/>
        <v>11</v>
      </c>
      <c r="FB14" s="13" t="str">
        <f t="shared" si="20"/>
        <v>Vitaly Khomitsevich</v>
      </c>
      <c r="FC14" s="129">
        <f t="shared" si="34"/>
        <v>0</v>
      </c>
      <c r="FD14" s="129">
        <f t="shared" si="21"/>
        <v>0</v>
      </c>
      <c r="FE14" s="504">
        <v>0</v>
      </c>
      <c r="FF14" s="129">
        <f t="shared" si="35"/>
        <v>0</v>
      </c>
      <c r="FG14" s="483">
        <f t="shared" si="22"/>
        <v>4.8999999999999997E-7</v>
      </c>
      <c r="FH14" s="483">
        <f t="shared" si="36"/>
        <v>4.8999999999999997E-7</v>
      </c>
      <c r="FI14" s="176">
        <f t="shared" si="37"/>
        <v>4.8999999999999997E-7</v>
      </c>
      <c r="FJ14" s="484">
        <f t="shared" si="23"/>
        <v>4.8999999999999997E-7</v>
      </c>
      <c r="FK14" s="762">
        <f t="shared" si="24"/>
        <v>11</v>
      </c>
      <c r="FL14" s="762">
        <v>12</v>
      </c>
      <c r="FM14" s="762">
        <f t="shared" si="38"/>
        <v>0</v>
      </c>
      <c r="FN14" s="512"/>
      <c r="FO14" s="13" t="str">
        <f t="shared" si="39"/>
        <v>Hans Weber</v>
      </c>
      <c r="FP14" s="496">
        <f t="shared" si="42"/>
        <v>0</v>
      </c>
      <c r="FQ14" s="13">
        <f t="shared" si="25"/>
        <v>0</v>
      </c>
      <c r="FS14" s="215">
        <f>$AG$5</f>
        <v>11</v>
      </c>
      <c r="FT14" s="205" t="b">
        <f>IF($M$36&gt;$M$38,$FS$3,IF($M$36&lt;$M$38,$FS$14))</f>
        <v>0</v>
      </c>
      <c r="FU14" s="4" t="b">
        <f>IF($AB$27&gt;$AB$24,$FS$4,IF($AB$27&lt;$AB$24,$FS$14))</f>
        <v>0</v>
      </c>
      <c r="FV14" s="4" t="b">
        <f>IF($AB$28&gt;$AB$31,$FS$5,IF($AB$28&lt;$AB$31,$FS$14))</f>
        <v>0</v>
      </c>
      <c r="FW14" s="4" t="b">
        <f>IF($M$16&gt;$M$17,$FS$6,IF($M$16&lt;$M$17,$FS$14))</f>
        <v>0</v>
      </c>
      <c r="FX14" s="4" t="b">
        <f>IF($M$37&gt;$M$38,$FS$7,IF($M$37&lt;$M$38,$FS$14))</f>
        <v>0</v>
      </c>
      <c r="FY14" s="4" t="b">
        <f>IF($AQ$18&gt;$AQ$16,$FS$8,IF($AQ$18&lt;$AQ$16,$FS$14))</f>
        <v>0</v>
      </c>
      <c r="FZ14" s="4" t="b">
        <f>IF($AB$30&gt;$AB$31,$FS$9,IF($AB$30&lt;$AB$31,$FS$14))</f>
        <v>0</v>
      </c>
      <c r="GA14" s="4" t="b">
        <f>IF($M$39&gt;$M$38,$FS$10,IF($M$39&lt;$M$38,$FS$14))</f>
        <v>0</v>
      </c>
      <c r="GB14" s="4" t="b">
        <f>IF($AB$26&gt;$AB$24,$FS$11,IF($AB$26&lt;$AB$24,$FS$14))</f>
        <v>0</v>
      </c>
      <c r="GC14" s="4" t="b">
        <f>IF($AB$25&gt;$AB$24,$FS$12,IF($AB$25&lt;$AB$24,$FS$14))</f>
        <v>0</v>
      </c>
      <c r="GD14" s="4" t="b">
        <f>IF($AQ$19&gt;$AQ$16,$FS$13,IF($AQ$19&lt;$AQ$16,$FS$14))</f>
        <v>0</v>
      </c>
      <c r="GE14" s="208"/>
      <c r="GF14" s="4" t="b">
        <f>IF($AB$31&gt;$AB$29,$FS$14,IF($AB$31&lt;$AB$29,$FS$15))</f>
        <v>0</v>
      </c>
      <c r="GG14" s="4" t="b">
        <f>IF($AQ$16&gt;$AQ$17,$FS$14,IF($AQ$16&lt;$AQ$17,$FS$16))</f>
        <v>0</v>
      </c>
      <c r="GH14" s="4" t="b">
        <f>IF($M$17&gt;$M$19,$FS$14,IF($M$17&lt;$M$19,$FS$17))</f>
        <v>0</v>
      </c>
      <c r="GI14" s="225" t="b">
        <f>IF($M$17&gt;$M$18,$FS$14,IF($M$17&lt;$M$18,$FS$18))</f>
        <v>0</v>
      </c>
      <c r="GK14" s="8">
        <v>12</v>
      </c>
      <c r="GL14" s="205"/>
      <c r="GM14" s="4"/>
      <c r="GN14" s="4"/>
      <c r="GO14" s="4"/>
      <c r="GP14" s="225"/>
      <c r="GQ14" s="230">
        <f t="shared" si="41"/>
        <v>0</v>
      </c>
      <c r="GR14" s="601">
        <f t="shared" si="40"/>
        <v>0</v>
      </c>
      <c r="GW14" s="1144"/>
      <c r="GX14" s="230" t="str">
        <f>IF($N$12="","",IF($IW$14=$GX$3,$IX$14,IF(AND($H$14=$GX$3,$L$14&lt;&gt;""),$L$14,IF(AND($H$14=$GX$3,$L$14=""),$M$14,""))))</f>
        <v/>
      </c>
      <c r="GY14" s="301">
        <v>78</v>
      </c>
      <c r="GZ14" s="5" t="str">
        <f t="shared" si="105"/>
        <v/>
      </c>
      <c r="HA14" s="95" t="str">
        <f t="shared" si="62"/>
        <v/>
      </c>
      <c r="HB14" s="5"/>
      <c r="HC14" s="95" t="str">
        <f t="shared" si="106"/>
        <v/>
      </c>
      <c r="HG14" s="1144"/>
      <c r="HH14" s="230" t="str">
        <f>IF($N$12="","",IF($IW$14=$HH$3,$IX$14,IF(AND($H$14=$HH$3,$L$14&lt;&gt;""),$L$14,IF(AND($H$14=$HH$3,$L$14=""),$M$14,""))))</f>
        <v/>
      </c>
      <c r="HI14" s="301">
        <v>78</v>
      </c>
      <c r="HJ14" s="5" t="str">
        <f t="shared" si="107"/>
        <v/>
      </c>
      <c r="HK14" s="95" t="str">
        <f t="shared" si="63"/>
        <v/>
      </c>
      <c r="HL14" s="5"/>
      <c r="HM14" s="95" t="str">
        <f t="shared" si="64"/>
        <v/>
      </c>
      <c r="HN14" s="1149"/>
      <c r="HO14" s="131" t="str">
        <f>IF($H14="",$D14,$H14)</f>
        <v>Gunter Bauer</v>
      </c>
      <c r="HP14" s="884" t="str">
        <f>M14</f>
        <v/>
      </c>
      <c r="HQ14" s="327" t="str">
        <f>IF($L14="","",$L14)</f>
        <v/>
      </c>
      <c r="HR14" s="327">
        <v>0.02</v>
      </c>
      <c r="HS14" s="327" t="str">
        <f t="shared" si="65"/>
        <v/>
      </c>
      <c r="HT14" s="327" t="e">
        <f>RANK(HS14,HS12:HS15)+COUNTIF(HS12:HS14,HS14)-1</f>
        <v>#VALUE!</v>
      </c>
      <c r="HU14" s="327" t="str">
        <f>IF(HQ14="",HO14,HO14&amp;" ("&amp;HQ14&amp;")")</f>
        <v>Gunter Bauer</v>
      </c>
      <c r="HV14" s="328">
        <v>3</v>
      </c>
      <c r="HW14" s="337" t="str">
        <f>IF(N12="","",VLOOKUP(HV14,HT12:HU15,2,FALSE))</f>
        <v/>
      </c>
      <c r="HX14" s="1149"/>
      <c r="HY14" s="131" t="str">
        <f>IF($W14="",$S14,$W14)</f>
        <v>Franz Zorn</v>
      </c>
      <c r="HZ14" s="327" t="str">
        <f>AB14</f>
        <v/>
      </c>
      <c r="IA14" s="327" t="str">
        <f>IF($AA14="","",$AA14)</f>
        <v/>
      </c>
      <c r="IB14" s="327">
        <v>0.02</v>
      </c>
      <c r="IC14" s="327" t="str">
        <f t="shared" si="66"/>
        <v/>
      </c>
      <c r="ID14" s="327" t="e">
        <f>RANK(IC14,IC12:IC15)+COUNTIF(IC12:IC14,IC14)-1</f>
        <v>#VALUE!</v>
      </c>
      <c r="IE14" s="327" t="str">
        <f>IF(IA14="",HY14,HY14&amp;" ("&amp;IA14&amp;")")</f>
        <v>Franz Zorn</v>
      </c>
      <c r="IF14" s="344">
        <v>3</v>
      </c>
      <c r="IG14" s="337" t="str">
        <f>IF(AC12="","",VLOOKUP(IF14,ID12:IE15,2,FALSE))</f>
        <v/>
      </c>
      <c r="IH14" s="1149"/>
      <c r="II14" s="131" t="str">
        <f>IF($AL14="",$AH14,$AL14)</f>
        <v>Per-Anders Lindstrom</v>
      </c>
      <c r="IJ14" s="327" t="str">
        <f>AQ14</f>
        <v/>
      </c>
      <c r="IK14" s="327" t="str">
        <f>IF($AP14="","",$AP14)</f>
        <v/>
      </c>
      <c r="IL14" s="327">
        <v>0.02</v>
      </c>
      <c r="IM14" s="327" t="str">
        <f t="shared" si="67"/>
        <v/>
      </c>
      <c r="IN14" s="327" t="e">
        <f>RANK(IM14,IM12:IM15)+COUNTIF(IM12:IM14,IM14)-1</f>
        <v>#VALUE!</v>
      </c>
      <c r="IO14" s="327" t="str">
        <f>IF(IK14="",II14,II14&amp;" ("&amp;IK14&amp;")")</f>
        <v>Per-Anders Lindstrom</v>
      </c>
      <c r="IP14" s="344">
        <v>3</v>
      </c>
      <c r="IQ14" s="337" t="str">
        <f>IF(AR12="","",VLOOKUP(IP14,IN12:IO15,2,FALSE))</f>
        <v/>
      </c>
      <c r="IU14" s="1112"/>
      <c r="IV14" s="701"/>
      <c r="IW14" s="699" t="str">
        <f t="shared" si="68"/>
        <v/>
      </c>
      <c r="IX14" s="700"/>
      <c r="IZ14" s="1112"/>
      <c r="JA14" s="701"/>
      <c r="JB14" s="699" t="str">
        <f t="shared" si="69"/>
        <v/>
      </c>
      <c r="JC14" s="700"/>
      <c r="JE14" s="1112"/>
      <c r="JF14" s="701"/>
      <c r="JG14" s="699" t="str">
        <f t="shared" si="70"/>
        <v/>
      </c>
      <c r="JH14" s="700"/>
      <c r="JI14" s="687"/>
      <c r="JJ14" s="1335"/>
      <c r="JK14" s="876">
        <v>78</v>
      </c>
      <c r="JL14" s="879" t="str">
        <f t="shared" si="108"/>
        <v/>
      </c>
      <c r="JM14" s="655" t="str">
        <f t="shared" si="71"/>
        <v/>
      </c>
      <c r="JN14" s="869" t="str">
        <f>IF($N$12="","",IF(AND($D$14=JL$11,$F$14&lt;&gt;""),$F$14,IF(AND($D$14=JL$11,$L$14&lt;&gt;""),$L$14,IF($D$14=JL$11,$M$14,""))))</f>
        <v/>
      </c>
      <c r="JO14" s="879" t="str">
        <f t="shared" si="109"/>
        <v/>
      </c>
      <c r="JP14" s="655" t="str">
        <f t="shared" si="72"/>
        <v/>
      </c>
      <c r="JQ14" s="869" t="str">
        <f>IF($N$12="","",IF(AND($D$14=JO$11,$F$14&lt;&gt;""),$F$14,IF(AND($D$14=JO$11,$L$14&lt;&gt;""),$L$14,IF($D$14=JO$11,$M$14,""))))</f>
        <v/>
      </c>
      <c r="JR14" s="879" t="str">
        <f t="shared" si="73"/>
        <v/>
      </c>
      <c r="JS14" s="655" t="str">
        <f t="shared" si="74"/>
        <v/>
      </c>
      <c r="JT14" s="869" t="str">
        <f>IF($N$12="","",IF(AND($D$14=JR$11,$F$14&lt;&gt;""),$F$14,IF(AND($D$14=JR$11,$L$14&lt;&gt;""),$L$14,IF($D$14=JR$11,$M$14,""))))</f>
        <v/>
      </c>
      <c r="JU14" s="879" t="str">
        <f t="shared" si="75"/>
        <v/>
      </c>
      <c r="JV14" s="655" t="str">
        <f t="shared" si="76"/>
        <v/>
      </c>
      <c r="JW14" s="869" t="str">
        <f>IF($N$12="","",IF(AND($D$14=JU$11,$F$14&lt;&gt;""),$F$14,IF(AND($D$14=JU$11,$L$14&lt;&gt;""),$L$14,IF($D$14=JU$11,$M$14,""))))</f>
        <v/>
      </c>
      <c r="JX14" s="879" t="str">
        <f t="shared" si="77"/>
        <v/>
      </c>
      <c r="JY14" s="655" t="str">
        <f t="shared" si="78"/>
        <v/>
      </c>
      <c r="JZ14" s="869" t="str">
        <f>IF($N$12="","",IF(AND($D$14=JX$11,$F$14&lt;&gt;""),$F$14,IF(AND($D$14=JX$11,$L$14&lt;&gt;""),$L$14,IF($D$14=JX$11,$M$14,""))))</f>
        <v/>
      </c>
      <c r="KA14" s="879" t="str">
        <f t="shared" si="79"/>
        <v/>
      </c>
      <c r="KB14" s="655" t="str">
        <f t="shared" si="80"/>
        <v/>
      </c>
      <c r="KC14" s="869" t="str">
        <f>IF($N$12="","",IF(AND($D$14=KA$11,$F$14&lt;&gt;""),$F$14,IF(AND($D$14=KA$11,$L$14&lt;&gt;""),$L$14,IF($D$14=KA$11,$M$14,""))))</f>
        <v/>
      </c>
      <c r="KD14" s="879" t="str">
        <f t="shared" si="81"/>
        <v/>
      </c>
      <c r="KE14" s="655" t="str">
        <f t="shared" si="82"/>
        <v/>
      </c>
      <c r="KF14" s="869" t="str">
        <f>IF($N$12="","",IF(AND($D$14=KD$11,$F$14&lt;&gt;""),$F$14,IF(AND($D$14=KD$11,$L$14&lt;&gt;""),$L$14,IF($D$14=KD$11,$M$14,""))))</f>
        <v/>
      </c>
      <c r="KG14" s="879" t="str">
        <f t="shared" si="83"/>
        <v/>
      </c>
      <c r="KH14" s="655" t="str">
        <f t="shared" si="84"/>
        <v/>
      </c>
      <c r="KI14" s="869" t="str">
        <f>IF($N$12="","",IF(AND($D$14=KG$11,$F$14&lt;&gt;""),$F$14,IF(AND($D$14=KG$11,$L$14&lt;&gt;""),$L$14,IF($D$14=KG$11,$M$14,""))))</f>
        <v/>
      </c>
      <c r="KJ14" s="879" t="str">
        <f t="shared" si="85"/>
        <v/>
      </c>
      <c r="KK14" s="655" t="str">
        <f t="shared" si="86"/>
        <v/>
      </c>
      <c r="KL14" s="869" t="str">
        <f>IF($N$12="","",IF(AND($D$14=KJ$11,$F$14&lt;&gt;""),$F$14,IF(AND($D$14=KJ$11,$L$14&lt;&gt;""),$L$14,IF($D$14=KJ$11,$M$14,""))))</f>
        <v/>
      </c>
      <c r="KM14" s="879" t="str">
        <f t="shared" si="87"/>
        <v/>
      </c>
      <c r="KN14" s="655" t="str">
        <f t="shared" si="88"/>
        <v/>
      </c>
      <c r="KO14" s="869" t="str">
        <f>IF($N$12="","",IF(AND($D$14=KM$11,$F$14&lt;&gt;""),$F$14,IF(AND($D$14=KM$11,$L$14&lt;&gt;""),$L$14,IF($D$14=KM$11,$M$14,""))))</f>
        <v/>
      </c>
      <c r="KP14" s="879" t="str">
        <f t="shared" si="89"/>
        <v/>
      </c>
      <c r="KQ14" s="655" t="str">
        <f t="shared" si="90"/>
        <v/>
      </c>
      <c r="KR14" s="869" t="str">
        <f>IF($N$12="","",IF(AND($D$14=KP$11,$F$14&lt;&gt;""),$F$14,IF(AND($D$14=KP$11,$L$14&lt;&gt;""),$L$14,IF($D$14=KP$11,$M$14,""))))</f>
        <v/>
      </c>
      <c r="KS14" s="879" t="str">
        <f t="shared" si="91"/>
        <v/>
      </c>
      <c r="KT14" s="655" t="str">
        <f t="shared" si="92"/>
        <v/>
      </c>
      <c r="KU14" s="869" t="str">
        <f>IF($N$12="","",IF(AND($D$14=KS$11,$F$14&lt;&gt;""),$F$14,IF(AND($D$14=KS$11,$L$14&lt;&gt;""),$L$14,IF($D$14=KS$11,$M$14,""))))</f>
        <v/>
      </c>
      <c r="KV14" s="879" t="str">
        <f t="shared" si="93"/>
        <v/>
      </c>
      <c r="KW14" s="655" t="str">
        <f t="shared" si="94"/>
        <v/>
      </c>
      <c r="KX14" s="869" t="str">
        <f>IF($N$12="","",IF(AND($D$14=KV$11,$F$14&lt;&gt;""),$F$14,IF(AND($D$14=KV$11,$L$14&lt;&gt;""),$L$14,IF($D$14=KV$11,$M$14,""))))</f>
        <v/>
      </c>
      <c r="KY14" s="879" t="str">
        <f t="shared" si="95"/>
        <v/>
      </c>
      <c r="KZ14" s="655" t="str">
        <f t="shared" si="96"/>
        <v/>
      </c>
      <c r="LA14" s="869" t="str">
        <f>IF($N$12="","",IF(AND($D$14=KY$11,$F$14&lt;&gt;""),$F$14,IF(AND($D$14=KY$11,$L$14&lt;&gt;""),$L$14,IF($D$14=KY$11,$M$14,""))))</f>
        <v/>
      </c>
      <c r="LB14" s="879" t="str">
        <f t="shared" si="97"/>
        <v/>
      </c>
      <c r="LC14" s="655" t="str">
        <f t="shared" si="98"/>
        <v/>
      </c>
      <c r="LD14" s="869" t="str">
        <f>IF($N$12="","",IF(AND($D$14=LB$11,$F$14&lt;&gt;""),$F$14,IF(AND($D$14=LB$11,$L$14&lt;&gt;""),$L$14,IF($D$14=LB$11,$M$14,""))))</f>
        <v/>
      </c>
      <c r="LE14" s="879" t="str">
        <f t="shared" si="99"/>
        <v/>
      </c>
      <c r="LF14" s="655" t="str">
        <f t="shared" si="100"/>
        <v/>
      </c>
      <c r="LG14" s="869" t="str">
        <f>IF($N$12="","",IF(AND($D$14=LE$11,$F$14&lt;&gt;""),$F$14,IF(AND($D$14=LE$11,$L$14&lt;&gt;""),$L$14,IF($D$14=LE$11,$M$14,""))))</f>
        <v/>
      </c>
      <c r="LH14"/>
      <c r="LI14"/>
      <c r="LJ14"/>
      <c r="LK14"/>
      <c r="LL14"/>
      <c r="LM14"/>
    </row>
    <row r="15" spans="1:325" ht="12.75" customHeight="1" thickBot="1">
      <c r="A15" s="918"/>
      <c r="B15" s="330">
        <v>10</v>
      </c>
      <c r="C15" s="107">
        <f t="shared" si="101"/>
        <v>12</v>
      </c>
      <c r="D15" s="518" t="str">
        <f t="shared" si="102"/>
        <v>Hans Weber</v>
      </c>
      <c r="E15" s="1012"/>
      <c r="F15" s="1016" t="str">
        <f t="shared" si="47"/>
        <v/>
      </c>
      <c r="G15" s="546"/>
      <c r="H15" s="1197" t="str">
        <f t="shared" si="48"/>
        <v/>
      </c>
      <c r="I15" s="1197"/>
      <c r="J15" s="1197"/>
      <c r="K15" s="1197"/>
      <c r="L15" s="509"/>
      <c r="M15" s="149" t="str">
        <f>IF(N12="","",IF(N12="y",3,IF(N13="y",2,IF(N14="y",1,IF(N15="y",0,0)))))</f>
        <v/>
      </c>
      <c r="N15" s="708"/>
      <c r="O15" s="268"/>
      <c r="P15" s="918"/>
      <c r="Q15" s="330">
        <v>1</v>
      </c>
      <c r="R15" s="107">
        <f t="shared" si="49"/>
        <v>9</v>
      </c>
      <c r="S15" s="518" t="str">
        <f t="shared" si="50"/>
        <v>Per-Anders Lindstrom</v>
      </c>
      <c r="T15" s="1012"/>
      <c r="U15" s="1016" t="str">
        <f t="shared" si="51"/>
        <v/>
      </c>
      <c r="V15" s="546"/>
      <c r="W15" s="1197" t="str">
        <f t="shared" si="52"/>
        <v/>
      </c>
      <c r="X15" s="1197"/>
      <c r="Y15" s="1197"/>
      <c r="Z15" s="1197"/>
      <c r="AA15" s="509"/>
      <c r="AB15" s="149" t="str">
        <f>IF(AC12="","",IF(AC12="y",3,IF(AC13="y",2,IF(AC14="y",1,IF(AC15="y",0,0)))))</f>
        <v/>
      </c>
      <c r="AC15" s="725"/>
      <c r="AD15" s="269"/>
      <c r="AE15" s="918"/>
      <c r="AF15" s="330">
        <v>10</v>
      </c>
      <c r="AG15" s="107">
        <f t="shared" si="53"/>
        <v>12</v>
      </c>
      <c r="AH15" s="518" t="str">
        <f t="shared" si="54"/>
        <v>Hans Weber</v>
      </c>
      <c r="AI15" s="1012"/>
      <c r="AJ15" s="1016" t="str">
        <f t="shared" si="55"/>
        <v/>
      </c>
      <c r="AK15" s="546"/>
      <c r="AL15" s="1197" t="str">
        <f t="shared" si="56"/>
        <v/>
      </c>
      <c r="AM15" s="1197"/>
      <c r="AN15" s="1197"/>
      <c r="AO15" s="1197"/>
      <c r="AP15" s="509"/>
      <c r="AQ15" s="149" t="str">
        <f>IF(AR12="","",IF(AR12="y",3,IF(AR13="y",2,IF(AR14="y",1,IF(AR15="y",0,0)))))</f>
        <v/>
      </c>
      <c r="AR15" s="725"/>
      <c r="AS15" s="268"/>
      <c r="AT15" s="195" t="str">
        <f t="shared" si="57"/>
        <v/>
      </c>
      <c r="AU15" s="65" t="str">
        <f t="shared" si="57"/>
        <v/>
      </c>
      <c r="AV15" s="94" t="str">
        <f t="shared" si="58"/>
        <v>Igor Kononov</v>
      </c>
      <c r="AW15" s="3" t="str">
        <f t="shared" si="59"/>
        <v/>
      </c>
      <c r="AX15" s="4" t="str">
        <f t="shared" si="59"/>
        <v/>
      </c>
      <c r="AY15" s="4" t="str">
        <f t="shared" si="59"/>
        <v/>
      </c>
      <c r="AZ15" s="4" t="str">
        <f t="shared" si="59"/>
        <v/>
      </c>
      <c r="BA15" s="26" t="str">
        <f t="shared" si="59"/>
        <v/>
      </c>
      <c r="BB15" s="189">
        <f t="shared" si="59"/>
        <v>0</v>
      </c>
      <c r="BD15" s="193" t="str">
        <f t="shared" si="60"/>
        <v/>
      </c>
      <c r="BE15" s="494" t="str">
        <f t="shared" si="103"/>
        <v/>
      </c>
      <c r="BF15" s="98" t="str">
        <f t="shared" si="103"/>
        <v/>
      </c>
      <c r="BG15"/>
      <c r="BH15" s="390">
        <f t="shared" si="104"/>
        <v>4</v>
      </c>
      <c r="BI15" s="974">
        <v>15</v>
      </c>
      <c r="BJ15" s="762">
        <f>IF(AR40&lt;&gt;"",23,0)</f>
        <v>0</v>
      </c>
      <c r="BK15" s="451">
        <v>13</v>
      </c>
      <c r="BO15" s="8" t="str">
        <f>$M15</f>
        <v/>
      </c>
      <c r="BT15" s="8" t="str">
        <f>$AB15</f>
        <v/>
      </c>
      <c r="BY15" s="8" t="str">
        <f>$AQ15</f>
        <v/>
      </c>
      <c r="BZ15" s="762">
        <v>4</v>
      </c>
      <c r="CA15" s="762" t="str">
        <f t="shared" si="61"/>
        <v/>
      </c>
      <c r="CB15" s="13">
        <v>4</v>
      </c>
      <c r="CC15" s="49">
        <f t="shared" si="4"/>
        <v>1</v>
      </c>
      <c r="CD15" s="50" t="str">
        <f t="shared" si="26"/>
        <v>=</v>
      </c>
      <c r="CE15" s="22">
        <v>13</v>
      </c>
      <c r="CF15" s="121">
        <f t="shared" si="5"/>
        <v>5</v>
      </c>
      <c r="CG15" s="126"/>
      <c r="CH15" s="74" t="str">
        <f t="shared" si="27"/>
        <v>Antonin Klatovsky</v>
      </c>
      <c r="CI15" s="278">
        <f t="shared" si="6"/>
        <v>0</v>
      </c>
      <c r="CJ15" s="85" t="str">
        <f t="shared" si="7"/>
        <v/>
      </c>
      <c r="CK15" s="70" t="str">
        <f t="shared" si="7"/>
        <v/>
      </c>
      <c r="CL15" s="70" t="str">
        <f t="shared" si="7"/>
        <v/>
      </c>
      <c r="CM15" s="70" t="str">
        <f t="shared" si="7"/>
        <v/>
      </c>
      <c r="CN15" s="86" t="str">
        <f t="shared" si="7"/>
        <v/>
      </c>
      <c r="CO15" s="79">
        <f t="shared" si="28"/>
        <v>0</v>
      </c>
      <c r="CP15" s="52"/>
      <c r="CQ15" s="249"/>
      <c r="CR15" s="27">
        <f t="shared" si="8"/>
        <v>5</v>
      </c>
      <c r="CS15" s="258">
        <f>RANK(DP15,$DP$3:$DP$20)+COUNTIF(DP$3:DP15,DP15)-1</f>
        <v>18</v>
      </c>
      <c r="CT15" s="32">
        <f t="shared" si="44"/>
        <v>13</v>
      </c>
      <c r="CU15" s="423">
        <f>VLOOKUP(CW15,Draw!$B$3:$C$42,2,FALSE)</f>
        <v>19</v>
      </c>
      <c r="CV15" s="185">
        <f>VLOOKUP(CW15,Draw!$B$3:$C$42,2,FALSE)</f>
        <v>19</v>
      </c>
      <c r="CW15" s="33" t="str">
        <f t="shared" si="45"/>
        <v>Daniel Henderson</v>
      </c>
      <c r="CX15" s="4" t="str">
        <f t="shared" si="46"/>
        <v/>
      </c>
      <c r="CY15" s="4" t="str">
        <f t="shared" si="46"/>
        <v/>
      </c>
      <c r="CZ15" s="4" t="str">
        <f t="shared" si="46"/>
        <v/>
      </c>
      <c r="DA15" s="4" t="str">
        <f t="shared" si="46"/>
        <v/>
      </c>
      <c r="DB15" s="34" t="str">
        <f t="shared" si="46"/>
        <v/>
      </c>
      <c r="DC15" s="250">
        <f t="shared" si="12"/>
        <v>0</v>
      </c>
      <c r="DD15" s="243">
        <f t="shared" si="13"/>
        <v>0</v>
      </c>
      <c r="DE15" s="236">
        <f t="shared" si="29"/>
        <v>0</v>
      </c>
      <c r="DF15" s="232">
        <f t="shared" si="14"/>
        <v>0</v>
      </c>
      <c r="DG15" s="234">
        <f t="shared" si="30"/>
        <v>0</v>
      </c>
      <c r="DH15" s="232">
        <f t="shared" si="15"/>
        <v>0</v>
      </c>
      <c r="DI15" s="41">
        <f t="shared" si="31"/>
        <v>0</v>
      </c>
      <c r="DJ15" s="271">
        <f t="shared" si="16"/>
        <v>0</v>
      </c>
      <c r="DK15" s="602">
        <f t="shared" si="32"/>
        <v>0</v>
      </c>
      <c r="DL15" s="281">
        <f t="shared" si="17"/>
        <v>0</v>
      </c>
      <c r="DM15" s="644">
        <f t="shared" si="43"/>
        <v>4.0999999999999999E-7</v>
      </c>
      <c r="DN15" s="285">
        <f t="shared" si="18"/>
        <v>0</v>
      </c>
      <c r="DO15" s="285">
        <f t="shared" si="19"/>
        <v>0</v>
      </c>
      <c r="DP15" s="648">
        <f t="shared" si="33"/>
        <v>4.0999999999999999E-7</v>
      </c>
      <c r="DQ15" s="595"/>
      <c r="DR15" s="205">
        <f>IF($DN$15=$DN$3,$CV$15,"")</f>
        <v>19</v>
      </c>
      <c r="DS15" s="4">
        <f>IF($DN$15=$DN$4,$CV$15,"")</f>
        <v>19</v>
      </c>
      <c r="DT15" s="4">
        <f>IF($DN$15=$DN$5,$CV$15,"")</f>
        <v>19</v>
      </c>
      <c r="DU15" s="4">
        <f>IF($DN$15=$DN$6,$CV$15,"")</f>
        <v>19</v>
      </c>
      <c r="DV15" s="4">
        <f>IF($DN$15=$DN$7,$CV$15,"")</f>
        <v>19</v>
      </c>
      <c r="DW15" s="4">
        <f>IF($DN$15=$DN$8,$CV$15,"")</f>
        <v>19</v>
      </c>
      <c r="DX15" s="4">
        <f>IF($DN$15=$DN$9,$CV$15,"")</f>
        <v>19</v>
      </c>
      <c r="DY15" s="4">
        <f>IF($DN$15=$DN$10,$CV$15,"")</f>
        <v>19</v>
      </c>
      <c r="DZ15" s="4">
        <f>IF($DN$15=$DN$11,$CV$15,"")</f>
        <v>19</v>
      </c>
      <c r="EA15" s="4">
        <f>IF($DN$15=$DN$12,$CV$15,"")</f>
        <v>19</v>
      </c>
      <c r="EB15" s="4">
        <f>IF($DN$15=$DN$13,$CV$15,"")</f>
        <v>19</v>
      </c>
      <c r="EC15" s="4">
        <f>IF($DN$15=$DN$14,$CV$15,"")</f>
        <v>19</v>
      </c>
      <c r="ED15" s="208"/>
      <c r="EE15" s="4">
        <f>IF($DN$15=$DN$16,$CV$15,"")</f>
        <v>19</v>
      </c>
      <c r="EF15" s="4">
        <f>IF($DN$15=$DN$17,$CV$15,"")</f>
        <v>19</v>
      </c>
      <c r="EG15" s="225">
        <f>IF($DN$15=$DN$18,$CV$15,"")</f>
        <v>19</v>
      </c>
      <c r="EH15" s="215">
        <f>$AG$6</f>
        <v>19</v>
      </c>
      <c r="EI15" s="205" t="b">
        <f>IF($DR$15="","",$FT$15)</f>
        <v>0</v>
      </c>
      <c r="EJ15" s="4" t="b">
        <f>IF($DS$15="","",$FU$15)</f>
        <v>0</v>
      </c>
      <c r="EK15" s="4" t="b">
        <f>IF($DT$15="","",$FV$15)</f>
        <v>0</v>
      </c>
      <c r="EL15" s="4" t="b">
        <f>IF($DU$15="","",$FW$15)</f>
        <v>0</v>
      </c>
      <c r="EM15" s="4" t="b">
        <f>IF($DV$15="","",$FX$15)</f>
        <v>0</v>
      </c>
      <c r="EN15" s="4" t="b">
        <f>IF($DW$15="","",$FY$15)</f>
        <v>0</v>
      </c>
      <c r="EO15" s="4" t="b">
        <f>IF($DX$15="","",$FZ$15)</f>
        <v>0</v>
      </c>
      <c r="EP15" s="4" t="b">
        <f>IF($DY$15="","",$GA$15)</f>
        <v>0</v>
      </c>
      <c r="EQ15" s="4" t="b">
        <f>IF($DZ$15="","",$GB$15)</f>
        <v>0</v>
      </c>
      <c r="ER15" s="4" t="b">
        <f>IF($EA$15="","",$GC$15)</f>
        <v>0</v>
      </c>
      <c r="ES15" s="4" t="b">
        <f>IF($EB$15="","",$GD$15)</f>
        <v>0</v>
      </c>
      <c r="ET15" s="4" t="b">
        <f>IF($EC$15="","",$GE$15)</f>
        <v>0</v>
      </c>
      <c r="EU15" s="208"/>
      <c r="EV15" s="4" t="b">
        <f>IF($EE$15="","",$GG$15)</f>
        <v>0</v>
      </c>
      <c r="EW15" s="4" t="b">
        <f>IF($EF$15="","",$GH$15)</f>
        <v>0</v>
      </c>
      <c r="EX15" s="225" t="b">
        <f>IF($EG$15="","",$GI$15)</f>
        <v>0</v>
      </c>
      <c r="EY15" s="230">
        <f>COUNTIF($EI$15:$EX$15,$EH$15)</f>
        <v>0</v>
      </c>
      <c r="FA15" s="130">
        <f t="shared" si="20"/>
        <v>19</v>
      </c>
      <c r="FB15" s="13" t="str">
        <f t="shared" si="20"/>
        <v>Daniel Henderson</v>
      </c>
      <c r="FC15" s="129">
        <f t="shared" si="34"/>
        <v>0</v>
      </c>
      <c r="FD15" s="129">
        <f t="shared" si="21"/>
        <v>0</v>
      </c>
      <c r="FE15" s="504">
        <v>0</v>
      </c>
      <c r="FF15" s="129">
        <f t="shared" si="35"/>
        <v>0</v>
      </c>
      <c r="FG15" s="483">
        <f t="shared" si="22"/>
        <v>4.0999999999999999E-7</v>
      </c>
      <c r="FH15" s="483">
        <f t="shared" si="36"/>
        <v>4.0999999999999999E-7</v>
      </c>
      <c r="FI15" s="176">
        <f t="shared" si="37"/>
        <v>4.0999999999999999E-7</v>
      </c>
      <c r="FJ15" s="484">
        <f t="shared" si="23"/>
        <v>4.0999999999999999E-7</v>
      </c>
      <c r="FK15" s="762">
        <f t="shared" si="24"/>
        <v>18</v>
      </c>
      <c r="FL15" s="762">
        <v>13</v>
      </c>
      <c r="FM15" s="762">
        <f t="shared" si="38"/>
        <v>0</v>
      </c>
      <c r="FN15" s="512"/>
      <c r="FO15" s="13" t="str">
        <f t="shared" si="39"/>
        <v>Antonin Klatovsky</v>
      </c>
      <c r="FP15" s="496">
        <f t="shared" si="42"/>
        <v>0</v>
      </c>
      <c r="FQ15" s="13">
        <f t="shared" si="25"/>
        <v>0</v>
      </c>
      <c r="FS15" s="215">
        <f>$AG$6</f>
        <v>19</v>
      </c>
      <c r="FT15" s="205" t="b">
        <f>IF($M$21&gt;$M$23,$FS$3,IF($M$21&lt;$M$23,$FS$15))</f>
        <v>0</v>
      </c>
      <c r="FU15" s="4" t="b">
        <f>IF($M$20&gt;$M$23,$FS$4,IF($M$20&lt;$M$23,$FS$15))</f>
        <v>0</v>
      </c>
      <c r="FV15" s="4" t="b">
        <f>IF($AB$28&gt;$AB$29,$FS$5,IF($AB$28&lt;$AB$29,$FS$15))</f>
        <v>0</v>
      </c>
      <c r="FW15" s="4" t="b">
        <f>IF($AB$17&gt;$AB$16,$FS$6,IF($AB$17&lt;$AB$16,$FS$15))</f>
        <v>0</v>
      </c>
      <c r="FX15" s="4" t="b">
        <f>IF($AB$18&gt;$AB$16,$FS$7,IF($AB$18&lt;$AB$16,$FS$15))</f>
        <v>0</v>
      </c>
      <c r="FY15" s="4" t="b">
        <f>IF($AB$19&gt;$AB$16,$FS$8,IF($AB$19&lt;$AB$16,$FS$15))</f>
        <v>0</v>
      </c>
      <c r="FZ15" s="4" t="b">
        <f>IF($AB$30&gt;$AB$29,$FS$9,IF($AB$30&lt;$AB$29,$FS$15))</f>
        <v>0</v>
      </c>
      <c r="GA15" s="4" t="b">
        <f>IF($AQ$20&gt;$AQ$21,$FS$10,IF($AQ$20&lt;$AQ$21,$FS$15))</f>
        <v>0</v>
      </c>
      <c r="GB15" s="4" t="b">
        <f>IF($AQ$22&gt;$AQ$21,$FS$11,IF($AQ$22&lt;$AQ$21,$FS$15))</f>
        <v>0</v>
      </c>
      <c r="GC15" s="4" t="b">
        <f>IF($M$40&gt;$M$42,$FS$12,IF($M$40&lt;$M$42,$FS$15))</f>
        <v>0</v>
      </c>
      <c r="GD15" s="4" t="b">
        <f>IF($M$43&gt;$M$42,$FS$13,IF($M$43&lt;$M$42,$FS$15))</f>
        <v>0</v>
      </c>
      <c r="GE15" s="4" t="b">
        <f>IF($AB$31&gt;$AB$29,$FS$14,IF($AB$31&lt;$AB$29,$FS$15))</f>
        <v>0</v>
      </c>
      <c r="GF15" s="208"/>
      <c r="GG15" s="4" t="b">
        <f>IF($M$23&gt;$M$22,$FS$15,IF($M$23&lt;$M$22,$FS$16))</f>
        <v>0</v>
      </c>
      <c r="GH15" s="4" t="b">
        <f>IF($M$42&gt;$M$41,$FS$15,IF($M$42&lt;$M$41,$FS$17))</f>
        <v>0</v>
      </c>
      <c r="GI15" s="225" t="b">
        <f>IF($AQ$21&gt;$AQ$23,$FS$15,IF($AQ$21&lt;$AQ$23,$FS$18))</f>
        <v>0</v>
      </c>
      <c r="GK15" s="8">
        <v>13</v>
      </c>
      <c r="GL15" s="205"/>
      <c r="GM15" s="4"/>
      <c r="GN15" s="4"/>
      <c r="GO15" s="4"/>
      <c r="GP15" s="225"/>
      <c r="GQ15" s="230">
        <f t="shared" si="41"/>
        <v>0</v>
      </c>
      <c r="GR15" s="601">
        <f t="shared" si="40"/>
        <v>0</v>
      </c>
      <c r="GW15" s="1145"/>
      <c r="GX15" s="231" t="str">
        <f>IF($N$12="","",IF($IW$15=$GX$3,$IX$15,IF(AND($H$15=$GX$3,$L$15&lt;&gt;""),$L$15,IF(AND($H$15=$GX$3,$L$15=""),$M$15,""))))</f>
        <v/>
      </c>
      <c r="GY15" s="302">
        <v>77</v>
      </c>
      <c r="GZ15" s="303" t="str">
        <f t="shared" si="105"/>
        <v/>
      </c>
      <c r="HA15" s="98" t="str">
        <f t="shared" si="62"/>
        <v/>
      </c>
      <c r="HB15" s="303"/>
      <c r="HC15" s="98" t="str">
        <f t="shared" si="106"/>
        <v/>
      </c>
      <c r="HG15" s="1145"/>
      <c r="HH15" s="231" t="str">
        <f>IF($N$12="","",IF($IW$15=$HH$3,$IX$15,IF(AND($H$15=$HH$3,$L$15&lt;&gt;""),$L$15,IF(AND($H$15=$HH$3,$L$15=""),$M$15,""))))</f>
        <v/>
      </c>
      <c r="HI15" s="302">
        <v>77</v>
      </c>
      <c r="HJ15" s="303" t="str">
        <f t="shared" si="107"/>
        <v/>
      </c>
      <c r="HK15" s="98" t="str">
        <f t="shared" si="63"/>
        <v/>
      </c>
      <c r="HL15" s="303"/>
      <c r="HM15" s="98" t="str">
        <f t="shared" si="64"/>
        <v/>
      </c>
      <c r="HN15" s="1150"/>
      <c r="HO15" s="131" t="str">
        <f>IF($H15="",$D15,$H15)</f>
        <v>Hans Weber</v>
      </c>
      <c r="HP15" s="884" t="str">
        <f>M15</f>
        <v/>
      </c>
      <c r="HQ15" s="327" t="str">
        <f>IF($L15="","",$L15)</f>
        <v/>
      </c>
      <c r="HR15" s="327">
        <v>0.01</v>
      </c>
      <c r="HS15" s="327" t="str">
        <f t="shared" si="65"/>
        <v/>
      </c>
      <c r="HT15" s="327" t="e">
        <f>RANK(HS15,HS12:HS15)+COUNTIF(HS12:HS15,HS15)-1</f>
        <v>#VALUE!</v>
      </c>
      <c r="HU15" s="327" t="str">
        <f>IF(HQ15="",HO15,HO15&amp;" ("&amp;HQ15&amp;")")</f>
        <v>Hans Weber</v>
      </c>
      <c r="HV15" s="328">
        <v>4</v>
      </c>
      <c r="HW15" s="337" t="str">
        <f>IF(N12="","",VLOOKUP(HV15,HT12:HU15,2,FALSE))</f>
        <v/>
      </c>
      <c r="HX15" s="1150">
        <v>9</v>
      </c>
      <c r="HY15" s="131" t="str">
        <f>IF($W15="",$S15,$W15)</f>
        <v>Per-Anders Lindstrom</v>
      </c>
      <c r="HZ15" s="327" t="str">
        <f>AB15</f>
        <v/>
      </c>
      <c r="IA15" s="327" t="str">
        <f>IF($AA15="","",$AA15)</f>
        <v/>
      </c>
      <c r="IB15" s="327">
        <v>0.01</v>
      </c>
      <c r="IC15" s="327" t="str">
        <f t="shared" si="66"/>
        <v/>
      </c>
      <c r="ID15" s="327" t="e">
        <f>RANK(IC15,IC12:IC15)+COUNTIF(IC12:IC15,IC15)-1</f>
        <v>#VALUE!</v>
      </c>
      <c r="IE15" s="327" t="str">
        <f>IF(IA15="",HY15,HY15&amp;" ("&amp;IA15&amp;")")</f>
        <v>Per-Anders Lindstrom</v>
      </c>
      <c r="IF15" s="344">
        <v>4</v>
      </c>
      <c r="IG15" s="337" t="str">
        <f>IF(AC12="","",VLOOKUP(IF15,ID12:IE15,2,FALSE))</f>
        <v/>
      </c>
      <c r="IH15" s="1150">
        <v>17</v>
      </c>
      <c r="II15" s="131" t="str">
        <f>IF($AL15="",$AH15,$AL15)</f>
        <v>Hans Weber</v>
      </c>
      <c r="IJ15" s="327" t="str">
        <f>AQ15</f>
        <v/>
      </c>
      <c r="IK15" s="327" t="str">
        <f>IF($AP15="","",$AP15)</f>
        <v/>
      </c>
      <c r="IL15" s="327">
        <v>0.01</v>
      </c>
      <c r="IM15" s="327" t="str">
        <f t="shared" si="67"/>
        <v/>
      </c>
      <c r="IN15" s="327" t="e">
        <f>RANK(IM15,IM12:IM15)+COUNTIF(IM12:IM15,IM15)-1</f>
        <v>#VALUE!</v>
      </c>
      <c r="IO15" s="327" t="str">
        <f>IF(IK15="",II15,II15&amp;" ("&amp;IK15&amp;")")</f>
        <v>Hans Weber</v>
      </c>
      <c r="IP15" s="344">
        <v>4</v>
      </c>
      <c r="IQ15" s="337" t="str">
        <f>IF(AR12="","",VLOOKUP(IP15,IN12:IO15,2,FALSE))</f>
        <v/>
      </c>
      <c r="IU15" s="1113"/>
      <c r="IV15" s="702"/>
      <c r="IW15" s="703" t="str">
        <f t="shared" si="68"/>
        <v/>
      </c>
      <c r="IX15" s="704"/>
      <c r="IZ15" s="1113"/>
      <c r="JA15" s="702"/>
      <c r="JB15" s="703" t="str">
        <f t="shared" si="69"/>
        <v/>
      </c>
      <c r="JC15" s="704"/>
      <c r="JE15" s="1113"/>
      <c r="JF15" s="702"/>
      <c r="JG15" s="703" t="str">
        <f t="shared" si="70"/>
        <v/>
      </c>
      <c r="JH15" s="704"/>
      <c r="JI15" s="687"/>
      <c r="JJ15" s="1336"/>
      <c r="JK15" s="877">
        <v>77</v>
      </c>
      <c r="JL15" s="880" t="str">
        <f t="shared" si="108"/>
        <v/>
      </c>
      <c r="JM15" s="874" t="str">
        <f t="shared" si="71"/>
        <v/>
      </c>
      <c r="JN15" s="870" t="str">
        <f>IF($N$12="","",IF(AND($D$15=JL$11,$F$15&lt;&gt;""),$F$15,IF(AND($D$15=JL$11,$L$15&lt;&gt;""),$L$15,IF($D$15=JL$11,$M$15,""))))</f>
        <v/>
      </c>
      <c r="JO15" s="880" t="str">
        <f t="shared" si="109"/>
        <v/>
      </c>
      <c r="JP15" s="874" t="str">
        <f t="shared" si="72"/>
        <v/>
      </c>
      <c r="JQ15" s="870" t="str">
        <f>IF($N$12="","",IF(AND($D$15=JO$11,$F$15&lt;&gt;""),$F$15,IF(AND($D$15=JO$11,$L$15&lt;&gt;""),$L$15,IF($D$15=JO$11,$M$15,""))))</f>
        <v/>
      </c>
      <c r="JR15" s="880" t="str">
        <f t="shared" si="73"/>
        <v/>
      </c>
      <c r="JS15" s="874" t="str">
        <f t="shared" si="74"/>
        <v/>
      </c>
      <c r="JT15" s="870" t="str">
        <f>IF($N$12="","",IF(AND($D$15=JR$11,$F$15&lt;&gt;""),$F$15,IF(AND($D$15=JR$11,$L$15&lt;&gt;""),$L$15,IF($D$15=JR$11,$M$15,""))))</f>
        <v/>
      </c>
      <c r="JU15" s="880" t="str">
        <f t="shared" si="75"/>
        <v/>
      </c>
      <c r="JV15" s="874" t="str">
        <f t="shared" si="76"/>
        <v/>
      </c>
      <c r="JW15" s="870" t="str">
        <f>IF($N$12="","",IF(AND($D$15=JU$11,$F$15&lt;&gt;""),$F$15,IF(AND($D$15=JU$11,$L$15&lt;&gt;""),$L$15,IF($D$15=JU$11,$M$15,""))))</f>
        <v/>
      </c>
      <c r="JX15" s="880" t="str">
        <f t="shared" si="77"/>
        <v/>
      </c>
      <c r="JY15" s="874" t="str">
        <f t="shared" si="78"/>
        <v/>
      </c>
      <c r="JZ15" s="870" t="str">
        <f>IF($N$12="","",IF(AND($D$15=JX$11,$F$15&lt;&gt;""),$F$15,IF(AND($D$15=JX$11,$L$15&lt;&gt;""),$L$15,IF($D$15=JX$11,$M$15,""))))</f>
        <v/>
      </c>
      <c r="KA15" s="880" t="str">
        <f t="shared" si="79"/>
        <v/>
      </c>
      <c r="KB15" s="874" t="str">
        <f t="shared" si="80"/>
        <v/>
      </c>
      <c r="KC15" s="870" t="str">
        <f>IF($N$12="","",IF(AND($D$15=KA$11,$F$15&lt;&gt;""),$F$15,IF(AND($D$15=KA$11,$L$15&lt;&gt;""),$L$15,IF($D$15=KA$11,$M$15,""))))</f>
        <v/>
      </c>
      <c r="KD15" s="880" t="str">
        <f t="shared" si="81"/>
        <v/>
      </c>
      <c r="KE15" s="874" t="str">
        <f t="shared" si="82"/>
        <v/>
      </c>
      <c r="KF15" s="870" t="str">
        <f>IF($N$12="","",IF(AND($D$15=KD$11,$F$15&lt;&gt;""),$F$15,IF(AND($D$15=KD$11,$L$15&lt;&gt;""),$L$15,IF($D$15=KD$11,$M$15,""))))</f>
        <v/>
      </c>
      <c r="KG15" s="880" t="str">
        <f t="shared" si="83"/>
        <v/>
      </c>
      <c r="KH15" s="874" t="str">
        <f t="shared" si="84"/>
        <v/>
      </c>
      <c r="KI15" s="870" t="str">
        <f>IF($N$12="","",IF(AND($D$15=KG$11,$F$15&lt;&gt;""),$F$15,IF(AND($D$15=KG$11,$L$15&lt;&gt;""),$L$15,IF($D$15=KG$11,$M$15,""))))</f>
        <v/>
      </c>
      <c r="KJ15" s="880" t="str">
        <f t="shared" si="85"/>
        <v/>
      </c>
      <c r="KK15" s="874" t="str">
        <f t="shared" si="86"/>
        <v/>
      </c>
      <c r="KL15" s="870" t="str">
        <f>IF($N$12="","",IF(AND($D$15=KJ$11,$F$15&lt;&gt;""),$F$15,IF(AND($D$15=KJ$11,$L$15&lt;&gt;""),$L$15,IF($D$15=KJ$11,$M$15,""))))</f>
        <v/>
      </c>
      <c r="KM15" s="880" t="str">
        <f t="shared" si="87"/>
        <v/>
      </c>
      <c r="KN15" s="874" t="str">
        <f t="shared" si="88"/>
        <v/>
      </c>
      <c r="KO15" s="870" t="str">
        <f>IF($N$12="","",IF(AND($D$15=KM$11,$F$15&lt;&gt;""),$F$15,IF(AND($D$15=KM$11,$L$15&lt;&gt;""),$L$15,IF($D$15=KM$11,$M$15,""))))</f>
        <v/>
      </c>
      <c r="KP15" s="880" t="str">
        <f t="shared" si="89"/>
        <v/>
      </c>
      <c r="KQ15" s="874" t="str">
        <f t="shared" si="90"/>
        <v/>
      </c>
      <c r="KR15" s="870" t="str">
        <f>IF($N$12="","",IF(AND($D$15=KP$11,$F$15&lt;&gt;""),$F$15,IF(AND($D$15=KP$11,$L$15&lt;&gt;""),$L$15,IF($D$15=KP$11,$M$15,""))))</f>
        <v/>
      </c>
      <c r="KS15" s="880" t="str">
        <f t="shared" si="91"/>
        <v/>
      </c>
      <c r="KT15" s="874" t="str">
        <f t="shared" si="92"/>
        <v/>
      </c>
      <c r="KU15" s="870" t="str">
        <f>IF($N$12="","",IF(AND($D$15=KS$11,$F$15&lt;&gt;""),$F$15,IF(AND($D$15=KS$11,$L$15&lt;&gt;""),$L$15,IF($D$15=KS$11,$M$15,""))))</f>
        <v/>
      </c>
      <c r="KV15" s="880" t="str">
        <f t="shared" si="93"/>
        <v/>
      </c>
      <c r="KW15" s="874" t="str">
        <f t="shared" si="94"/>
        <v/>
      </c>
      <c r="KX15" s="870" t="str">
        <f>IF($N$12="","",IF(AND($D$15=KV$11,$F$15&lt;&gt;""),$F$15,IF(AND($D$15=KV$11,$L$15&lt;&gt;""),$L$15,IF($D$15=KV$11,$M$15,""))))</f>
        <v/>
      </c>
      <c r="KY15" s="880" t="str">
        <f t="shared" si="95"/>
        <v/>
      </c>
      <c r="KZ15" s="874" t="str">
        <f t="shared" si="96"/>
        <v/>
      </c>
      <c r="LA15" s="870" t="str">
        <f>IF($N$12="","",IF(AND($D$15=KY$11,$F$15&lt;&gt;""),$F$15,IF(AND($D$15=KY$11,$L$15&lt;&gt;""),$L$15,IF($D$15=KY$11,$M$15,""))))</f>
        <v/>
      </c>
      <c r="LB15" s="880" t="str">
        <f t="shared" si="97"/>
        <v/>
      </c>
      <c r="LC15" s="874" t="str">
        <f t="shared" si="98"/>
        <v/>
      </c>
      <c r="LD15" s="870" t="str">
        <f>IF($N$12="","",IF(AND($D$15=LB$11,$F$15&lt;&gt;""),$F$15,IF(AND($D$15=LB$11,$L$15&lt;&gt;""),$L$15,IF($D$15=LB$11,$M$15,""))))</f>
        <v/>
      </c>
      <c r="LE15" s="880" t="str">
        <f t="shared" si="99"/>
        <v/>
      </c>
      <c r="LF15" s="874" t="str">
        <f t="shared" si="100"/>
        <v/>
      </c>
      <c r="LG15" s="870" t="str">
        <f>IF($N$12="","",IF(AND($D$15=LE$11,$F$15&lt;&gt;""),$F$15,IF(AND($D$15=LE$11,$L$15&lt;&gt;""),$L$15,IF($D$15=LE$11,$M$15,""))))</f>
        <v/>
      </c>
      <c r="LH15"/>
      <c r="LI15"/>
      <c r="LJ15"/>
      <c r="LK15"/>
      <c r="LL15"/>
      <c r="LM15"/>
    </row>
    <row r="16" spans="1:325" ht="12.75" customHeight="1" thickBot="1">
      <c r="A16" s="1211">
        <v>2</v>
      </c>
      <c r="B16" s="329">
        <v>4</v>
      </c>
      <c r="C16" s="106">
        <f t="shared" si="101"/>
        <v>6</v>
      </c>
      <c r="D16" s="516" t="str">
        <f t="shared" si="102"/>
        <v>Jan Klatovsky</v>
      </c>
      <c r="E16" s="1010"/>
      <c r="F16" s="1014" t="str">
        <f t="shared" si="47"/>
        <v/>
      </c>
      <c r="G16" s="544"/>
      <c r="H16" s="1210" t="str">
        <f t="shared" si="48"/>
        <v/>
      </c>
      <c r="I16" s="1210"/>
      <c r="J16" s="1210"/>
      <c r="K16" s="1210"/>
      <c r="L16" s="510"/>
      <c r="M16" s="93" t="str">
        <f>IF(N16="","",IF(N16="R",3,IF(N17="R",2,IF(N18="R",1,IF(N19="R",0,0)))))</f>
        <v/>
      </c>
      <c r="N16" s="706"/>
      <c r="O16" s="268"/>
      <c r="P16" s="1211">
        <v>10</v>
      </c>
      <c r="Q16" s="329">
        <v>13</v>
      </c>
      <c r="R16" s="106">
        <f t="shared" si="49"/>
        <v>19</v>
      </c>
      <c r="S16" s="516" t="str">
        <f t="shared" si="50"/>
        <v>Daniel Henderson</v>
      </c>
      <c r="T16" s="1010"/>
      <c r="U16" s="1014" t="str">
        <f t="shared" si="51"/>
        <v/>
      </c>
      <c r="V16" s="544"/>
      <c r="W16" s="1210" t="str">
        <f t="shared" si="52"/>
        <v/>
      </c>
      <c r="X16" s="1210"/>
      <c r="Y16" s="1210"/>
      <c r="Z16" s="1210"/>
      <c r="AA16" s="510"/>
      <c r="AB16" s="93" t="str">
        <f>IF(AC16="","",IF(AC16="R",3,IF(AC17="R",2,IF(AC18="R",1,IF(AC19="R",0,0)))))</f>
        <v/>
      </c>
      <c r="AC16" s="723"/>
      <c r="AD16" s="269"/>
      <c r="AE16" s="1211">
        <v>18</v>
      </c>
      <c r="AF16" s="329">
        <v>12</v>
      </c>
      <c r="AG16" s="106">
        <f t="shared" si="53"/>
        <v>11</v>
      </c>
      <c r="AH16" s="516" t="str">
        <f t="shared" si="54"/>
        <v>Vitaly Khomitsevich</v>
      </c>
      <c r="AI16" s="1010"/>
      <c r="AJ16" s="1014" t="str">
        <f t="shared" si="55"/>
        <v/>
      </c>
      <c r="AK16" s="544"/>
      <c r="AL16" s="1210" t="str">
        <f t="shared" si="56"/>
        <v/>
      </c>
      <c r="AM16" s="1210"/>
      <c r="AN16" s="1210"/>
      <c r="AO16" s="1210"/>
      <c r="AP16" s="510"/>
      <c r="AQ16" s="93" t="str">
        <f>IF(AR16="","",IF(AR16="R",3,IF(AR17="R",2,IF(AR18="R",1,IF(AR19="R",0,0)))))</f>
        <v/>
      </c>
      <c r="AR16" s="723"/>
      <c r="AS16" s="268"/>
      <c r="AT16" s="195" t="str">
        <f t="shared" si="57"/>
        <v/>
      </c>
      <c r="AU16" s="65" t="str">
        <f t="shared" si="57"/>
        <v/>
      </c>
      <c r="AV16" s="94" t="str">
        <f t="shared" si="58"/>
        <v>Stefan Svensson</v>
      </c>
      <c r="AW16" s="3" t="str">
        <f t="shared" si="59"/>
        <v/>
      </c>
      <c r="AX16" s="4" t="str">
        <f t="shared" si="59"/>
        <v/>
      </c>
      <c r="AY16" s="4" t="str">
        <f t="shared" si="59"/>
        <v/>
      </c>
      <c r="AZ16" s="4" t="str">
        <f t="shared" si="59"/>
        <v/>
      </c>
      <c r="BA16" s="26" t="str">
        <f t="shared" si="59"/>
        <v/>
      </c>
      <c r="BB16" s="189">
        <f t="shared" si="59"/>
        <v>0</v>
      </c>
      <c r="BD16" s="104" t="str">
        <f t="shared" si="60"/>
        <v/>
      </c>
      <c r="BE16" s="145" t="str">
        <f t="shared" si="103"/>
        <v/>
      </c>
      <c r="BF16" s="146" t="str">
        <f t="shared" si="103"/>
        <v/>
      </c>
      <c r="BG16"/>
      <c r="BH16" s="390">
        <f t="shared" si="104"/>
        <v>4</v>
      </c>
      <c r="BI16" s="974">
        <v>14</v>
      </c>
      <c r="BJ16" s="762">
        <f>IF(AC24&lt;&gt;"",12,0)</f>
        <v>0</v>
      </c>
      <c r="BK16" s="451">
        <v>12</v>
      </c>
      <c r="BL16" s="8" t="str">
        <f>$M16</f>
        <v/>
      </c>
      <c r="BQ16" s="8" t="str">
        <f>$AB16</f>
        <v/>
      </c>
      <c r="BV16" s="8" t="str">
        <f>$AQ16</f>
        <v/>
      </c>
      <c r="BY16" s="8"/>
      <c r="BZ16" s="762">
        <v>5</v>
      </c>
      <c r="CA16" s="762" t="str">
        <f t="shared" si="61"/>
        <v/>
      </c>
      <c r="CB16" s="13">
        <v>1</v>
      </c>
      <c r="CC16" s="49">
        <f t="shared" si="4"/>
        <v>1</v>
      </c>
      <c r="CD16" s="50" t="str">
        <f t="shared" si="26"/>
        <v>=</v>
      </c>
      <c r="CE16" s="31">
        <v>14</v>
      </c>
      <c r="CF16" s="121">
        <f t="shared" si="5"/>
        <v>11</v>
      </c>
      <c r="CG16" s="126"/>
      <c r="CH16" s="74" t="str">
        <f t="shared" si="27"/>
        <v>Harald Simon</v>
      </c>
      <c r="CI16" s="278">
        <f t="shared" si="6"/>
        <v>0</v>
      </c>
      <c r="CJ16" s="85" t="str">
        <f t="shared" si="7"/>
        <v/>
      </c>
      <c r="CK16" s="70" t="str">
        <f t="shared" si="7"/>
        <v/>
      </c>
      <c r="CL16" s="70" t="str">
        <f t="shared" si="7"/>
        <v/>
      </c>
      <c r="CM16" s="70" t="str">
        <f t="shared" si="7"/>
        <v/>
      </c>
      <c r="CN16" s="86" t="str">
        <f t="shared" si="7"/>
        <v/>
      </c>
      <c r="CO16" s="79">
        <f t="shared" si="28"/>
        <v>0</v>
      </c>
      <c r="CP16" s="52"/>
      <c r="CQ16" s="249"/>
      <c r="CR16" s="27">
        <f t="shared" si="8"/>
        <v>11</v>
      </c>
      <c r="CS16" s="258">
        <f>RANK(DP16,$DP$3:$DP$20)+COUNTIF(DP$3:DP16,DP16)-1</f>
        <v>8</v>
      </c>
      <c r="CT16" s="32">
        <f t="shared" si="44"/>
        <v>14</v>
      </c>
      <c r="CU16" s="423">
        <f>VLOOKUP(CW16,Draw!$B$3:$C$42,2,FALSE)</f>
        <v>8</v>
      </c>
      <c r="CV16" s="185">
        <f>VLOOKUP(CW16,Draw!$B$3:$C$42,2,FALSE)</f>
        <v>8</v>
      </c>
      <c r="CW16" s="33" t="str">
        <f t="shared" si="45"/>
        <v>Stefan Pletschacher</v>
      </c>
      <c r="CX16" s="4" t="str">
        <f t="shared" si="46"/>
        <v/>
      </c>
      <c r="CY16" s="4" t="str">
        <f t="shared" si="46"/>
        <v/>
      </c>
      <c r="CZ16" s="4" t="str">
        <f t="shared" si="46"/>
        <v/>
      </c>
      <c r="DA16" s="4" t="str">
        <f t="shared" si="46"/>
        <v/>
      </c>
      <c r="DB16" s="34" t="str">
        <f t="shared" si="46"/>
        <v/>
      </c>
      <c r="DC16" s="250">
        <f t="shared" si="12"/>
        <v>0</v>
      </c>
      <c r="DD16" s="243">
        <f t="shared" si="13"/>
        <v>0</v>
      </c>
      <c r="DE16" s="236">
        <f t="shared" si="29"/>
        <v>0</v>
      </c>
      <c r="DF16" s="232">
        <f t="shared" si="14"/>
        <v>0</v>
      </c>
      <c r="DG16" s="234">
        <f t="shared" si="30"/>
        <v>0</v>
      </c>
      <c r="DH16" s="232">
        <f t="shared" si="15"/>
        <v>0</v>
      </c>
      <c r="DI16" s="41">
        <f t="shared" si="31"/>
        <v>0</v>
      </c>
      <c r="DJ16" s="271">
        <f t="shared" si="16"/>
        <v>0</v>
      </c>
      <c r="DK16" s="602">
        <f t="shared" si="32"/>
        <v>0</v>
      </c>
      <c r="DL16" s="281">
        <f t="shared" si="17"/>
        <v>0</v>
      </c>
      <c r="DM16" s="643">
        <f t="shared" si="43"/>
        <v>5.2E-7</v>
      </c>
      <c r="DN16" s="284">
        <f t="shared" si="18"/>
        <v>0</v>
      </c>
      <c r="DO16" s="284">
        <f t="shared" si="19"/>
        <v>0</v>
      </c>
      <c r="DP16" s="647">
        <f t="shared" si="33"/>
        <v>5.2E-7</v>
      </c>
      <c r="DQ16" s="594"/>
      <c r="DR16" s="205">
        <f>IF($DN$16=$DN$3,$CV$16,"")</f>
        <v>8</v>
      </c>
      <c r="DS16" s="4">
        <f>IF($DN$16=$DN$4,$CV$16,"")</f>
        <v>8</v>
      </c>
      <c r="DT16" s="4">
        <f>IF($DN$16=$DN$5,$CV$16,"")</f>
        <v>8</v>
      </c>
      <c r="DU16" s="4">
        <f>IF($DN$16=$DN$6,$CV$16,"")</f>
        <v>8</v>
      </c>
      <c r="DV16" s="4">
        <f>IF($DN$16=$DN$7,$CV$16,"")</f>
        <v>8</v>
      </c>
      <c r="DW16" s="4">
        <f>IF($DN$16=$DN$8,$CV$16,"")</f>
        <v>8</v>
      </c>
      <c r="DX16" s="4">
        <f>IF($DN$16=$DN$9,$CV$16,"")</f>
        <v>8</v>
      </c>
      <c r="DY16" s="4">
        <f>IF($DN$16=$DN$10,$CV$16,"")</f>
        <v>8</v>
      </c>
      <c r="DZ16" s="4">
        <f>IF($DN$16=$DN$11,$CV$16,"")</f>
        <v>8</v>
      </c>
      <c r="EA16" s="4">
        <f>IF($DN$16=$DN$12,$CV$16,"")</f>
        <v>8</v>
      </c>
      <c r="EB16" s="4">
        <f>IF($DN$16=$DN$13,$CV$16,"")</f>
        <v>8</v>
      </c>
      <c r="EC16" s="4">
        <f>IF($DN$16=$DN$14,$CV$16,"")</f>
        <v>8</v>
      </c>
      <c r="ED16" s="4">
        <f>IF($DN$16=$DN$15,$CV$16,"")</f>
        <v>8</v>
      </c>
      <c r="EE16" s="208"/>
      <c r="EF16" s="4">
        <f>IF($DN$16=$DN$17,$CV$16,"")</f>
        <v>8</v>
      </c>
      <c r="EG16" s="225">
        <f>IF($DN$16=$DN$18,$CV$16,"")</f>
        <v>8</v>
      </c>
      <c r="EH16" s="215">
        <f>$AG$7</f>
        <v>8</v>
      </c>
      <c r="EI16" s="205" t="b">
        <f>IF($DR$16="","",$FT$16)</f>
        <v>0</v>
      </c>
      <c r="EJ16" s="4" t="b">
        <f>IF($DS$16="","",$FU$16)</f>
        <v>0</v>
      </c>
      <c r="EK16" s="4" t="b">
        <f>IF($DT$16="","",$FV$16)</f>
        <v>0</v>
      </c>
      <c r="EL16" s="4" t="b">
        <f>IF($DU$16="","",$FW$16)</f>
        <v>0</v>
      </c>
      <c r="EM16" s="4" t="b">
        <f>IF($DV$16="","",$FX$16)</f>
        <v>0</v>
      </c>
      <c r="EN16" s="4" t="b">
        <f>IF($DW$16="","",$FY$16)</f>
        <v>0</v>
      </c>
      <c r="EO16" s="4" t="b">
        <f>IF($DX$16="","",$FZ$16)</f>
        <v>0</v>
      </c>
      <c r="EP16" s="4" t="b">
        <f>IF($DY$16="","",$GA$16)</f>
        <v>0</v>
      </c>
      <c r="EQ16" s="4" t="b">
        <f>IF($DZ$16="","",$GB$16)</f>
        <v>0</v>
      </c>
      <c r="ER16" s="4" t="b">
        <f>IF($EA$16="","",$GC$16)</f>
        <v>0</v>
      </c>
      <c r="ES16" s="4" t="b">
        <f>IF($EB$16="","",$GD$16)</f>
        <v>0</v>
      </c>
      <c r="ET16" s="4" t="b">
        <f>IF($EC$16="","",$GE$16)</f>
        <v>0</v>
      </c>
      <c r="EU16" s="4" t="b">
        <f>IF($ED$16="","",$GF$16)</f>
        <v>0</v>
      </c>
      <c r="EV16" s="208"/>
      <c r="EW16" s="4" t="b">
        <f>IF($EF$16="","",$GH$16)</f>
        <v>0</v>
      </c>
      <c r="EX16" s="225" t="b">
        <f>IF($EG$16="","",$GI$16)</f>
        <v>0</v>
      </c>
      <c r="EY16" s="230">
        <f>COUNTIF($EI$16:$EX$16,$EH$16)</f>
        <v>0</v>
      </c>
      <c r="FA16" s="130">
        <f t="shared" si="20"/>
        <v>8</v>
      </c>
      <c r="FB16" s="13" t="str">
        <f t="shared" si="20"/>
        <v>Stefan Pletschacher</v>
      </c>
      <c r="FC16" s="129">
        <f t="shared" si="34"/>
        <v>0</v>
      </c>
      <c r="FD16" s="129">
        <f t="shared" si="21"/>
        <v>0</v>
      </c>
      <c r="FE16" s="504">
        <v>0</v>
      </c>
      <c r="FF16" s="129">
        <f t="shared" si="35"/>
        <v>0</v>
      </c>
      <c r="FG16" s="483">
        <f t="shared" si="22"/>
        <v>5.2E-7</v>
      </c>
      <c r="FH16" s="483">
        <f t="shared" si="36"/>
        <v>5.2E-7</v>
      </c>
      <c r="FI16" s="176">
        <f t="shared" si="37"/>
        <v>5.2E-7</v>
      </c>
      <c r="FJ16" s="484">
        <f t="shared" si="23"/>
        <v>5.2E-7</v>
      </c>
      <c r="FK16" s="762">
        <f t="shared" si="24"/>
        <v>8</v>
      </c>
      <c r="FL16" s="762">
        <v>14</v>
      </c>
      <c r="FM16" s="762">
        <f t="shared" si="38"/>
        <v>0</v>
      </c>
      <c r="FN16" s="512"/>
      <c r="FO16" s="13" t="str">
        <f t="shared" si="39"/>
        <v>Harald Simon</v>
      </c>
      <c r="FP16" s="496">
        <f t="shared" si="42"/>
        <v>0</v>
      </c>
      <c r="FQ16" s="13">
        <f t="shared" si="25"/>
        <v>0</v>
      </c>
      <c r="FS16" s="215">
        <f>$AG$7</f>
        <v>8</v>
      </c>
      <c r="FT16" s="205" t="b">
        <f>IF($M$21&gt;$M$22,$FS$3,IF($M$21&lt;$M$22,$FS$16))</f>
        <v>0</v>
      </c>
      <c r="FU16" s="4" t="b">
        <f>IF($M$20&gt;$M$22,$FS$4,IF($M$20&lt;$M$22,$FS$16))</f>
        <v>0</v>
      </c>
      <c r="FV16" s="4" t="b">
        <f>IF($M$29&gt;$M$31,$FS$5,IF($M$29&lt;$M$31,$FS$16))</f>
        <v>0</v>
      </c>
      <c r="FW16" s="4" t="b">
        <f>IF($M$30&gt;$M$31,$FS$6,IF($M$30&lt;$M$31,$FS$16))</f>
        <v>0</v>
      </c>
      <c r="FX16" s="4" t="b">
        <f>IF($AB$43&gt;$AB$40,$FS$7,IF($AB$43&lt;$AB$40,$FS$16))</f>
        <v>0</v>
      </c>
      <c r="FY16" s="4" t="b">
        <f>IF($AQ$18&gt;$AQ$17,$FS$8,IF($AQ$18&lt;$AQ$17,$FS$16))</f>
        <v>0</v>
      </c>
      <c r="FZ16" s="4" t="b">
        <f>IF($AB$23&gt;$AB$21,$FS$9,IF($AB$23&lt;$AB$21,$FS$16))</f>
        <v>0</v>
      </c>
      <c r="GA16" s="4" t="b">
        <f>IF($AB$20&gt;$AB$21,$FS$10,IF($AB$20&lt;$AB$21,$FS$16))</f>
        <v>0</v>
      </c>
      <c r="GB16" s="4" t="b">
        <f>IF($M$28&gt;$M$31,$FS$11,IF($M$28&lt;$M$31,$FS$16))</f>
        <v>0</v>
      </c>
      <c r="GC16" s="4" t="b">
        <f>IF($AB$42&gt;$AB$40,$FS$12,IF($AB$42&lt;$AB$40,$FS$16))</f>
        <v>0</v>
      </c>
      <c r="GD16" s="4" t="b">
        <f>IF($AQ$19&gt;$AQ$17,$FS$13,IF($AQ$19&lt;$AQ$17,$FS$16))</f>
        <v>0</v>
      </c>
      <c r="GE16" s="4" t="b">
        <f>IF($AQ$16&gt;$AQ$17,$FS$14,IF($AQ$16&lt;$AQ$17,$FS$16))</f>
        <v>0</v>
      </c>
      <c r="GF16" s="4" t="b">
        <f>IF($M$23&gt;$M$22,$FS$15,IF($M$23&lt;$M$22,$FS$16))</f>
        <v>0</v>
      </c>
      <c r="GG16" s="208"/>
      <c r="GH16" s="4" t="b">
        <f>IF($AB$21&gt;$AB$22,$FS$16,IF($AB$21&lt;$AB$22,$FS$17))</f>
        <v>0</v>
      </c>
      <c r="GI16" s="225" t="b">
        <f>IF($AB$40&gt;$AB$41,$FS$16,IF($AB$40&lt;$AB$41,$FS$18))</f>
        <v>0</v>
      </c>
      <c r="GK16" s="8">
        <v>14</v>
      </c>
      <c r="GL16" s="205"/>
      <c r="GM16" s="4"/>
      <c r="GN16" s="4"/>
      <c r="GO16" s="4"/>
      <c r="GP16" s="225"/>
      <c r="GQ16" s="230">
        <f t="shared" si="41"/>
        <v>0</v>
      </c>
      <c r="GR16" s="601">
        <f t="shared" si="40"/>
        <v>0</v>
      </c>
      <c r="GW16" s="1143">
        <v>2</v>
      </c>
      <c r="GX16" s="229" t="str">
        <f>IF($N$16="","",IF($IW$16=$GX$3,$IX$16,IF(AND($H$16=$GX$3,$L$16&lt;&gt;""),$L$16,IF(AND($H$16=$GX$3,$L$16=""),$M$16,""))))</f>
        <v/>
      </c>
      <c r="GY16" s="299">
        <v>76</v>
      </c>
      <c r="GZ16" s="300" t="str">
        <f t="shared" si="105"/>
        <v/>
      </c>
      <c r="HA16" s="93" t="str">
        <f t="shared" si="62"/>
        <v/>
      </c>
      <c r="HB16" s="300"/>
      <c r="HC16" s="93" t="str">
        <f t="shared" si="106"/>
        <v/>
      </c>
      <c r="HG16" s="1143">
        <v>2</v>
      </c>
      <c r="HH16" s="229" t="str">
        <f>IF($N$16="","",IF($IW$16=$HH$3,$IX$16,IF(AND($H$16=$HH$3,$L$16&lt;&gt;""),$L$16,IF(AND($H$16=$HH$3,$L$16=""),$M$16,""))))</f>
        <v/>
      </c>
      <c r="HI16" s="299">
        <v>76</v>
      </c>
      <c r="HJ16" s="300" t="str">
        <f t="shared" si="107"/>
        <v/>
      </c>
      <c r="HK16" s="93" t="str">
        <f t="shared" si="63"/>
        <v/>
      </c>
      <c r="HL16" s="300"/>
      <c r="HM16" s="93" t="str">
        <f t="shared" si="64"/>
        <v/>
      </c>
      <c r="HN16" s="348" t="str">
        <f>IF($A15="","",$A15)</f>
        <v/>
      </c>
      <c r="HO16" s="132" t="str">
        <f>IF($H12&lt;&gt;"",$D12,IF($H13&lt;&gt;"",$D13,IF($H14&lt;&gt;"",$D14,IF($H15&lt;&gt;"",$D15,""))))</f>
        <v/>
      </c>
      <c r="HP16" s="885" t="str">
        <f>IF(HO16="","",VLOOKUP($HO16,$CW$3:$DB$18,2,FALSE))</f>
        <v/>
      </c>
      <c r="HQ16" s="338"/>
      <c r="HR16" s="338"/>
      <c r="HS16" s="338">
        <v>5</v>
      </c>
      <c r="HT16" s="338"/>
      <c r="HU16" s="132" t="str">
        <f>IF(HO16="","",HO16&amp;" ("&amp;HP16&amp;")")</f>
        <v/>
      </c>
      <c r="HV16" s="349">
        <v>5</v>
      </c>
      <c r="HW16" s="339" t="str">
        <f>IF(HU16="","",HU16)</f>
        <v/>
      </c>
      <c r="HX16" s="348" t="str">
        <f>IF($P15="","",$P15)</f>
        <v/>
      </c>
      <c r="HY16" s="132" t="str">
        <f>IF($W12&lt;&gt;"",$S12,IF($W13&lt;&gt;"",$S13,IF($W14&lt;&gt;"",$S14,IF($W15&lt;&gt;"",$S15,""))))</f>
        <v/>
      </c>
      <c r="HZ16" s="338" t="str">
        <f>IF(HY16="","",VLOOKUP($HY16,$CW$3:$DB$18,4,FALSE))</f>
        <v/>
      </c>
      <c r="IA16" s="338"/>
      <c r="IB16" s="338"/>
      <c r="IC16" s="338">
        <v>5</v>
      </c>
      <c r="ID16" s="338"/>
      <c r="IE16" s="132" t="str">
        <f>IF(HY16="","",HY16&amp;" ("&amp;HZ16&amp;")")</f>
        <v/>
      </c>
      <c r="IF16" s="351">
        <v>5</v>
      </c>
      <c r="IG16" s="339" t="str">
        <f>IF(IE16="","",IE16)</f>
        <v/>
      </c>
      <c r="IH16" s="348" t="str">
        <f>IF($AE15="","",$AE15)</f>
        <v/>
      </c>
      <c r="II16" s="132" t="str">
        <f>IF($AL12&lt;&gt;"",$AH12,IF($AL13&lt;&gt;"",$AH13,IF($AL14&lt;&gt;"",$AH14,IF($AL15&lt;&gt;"",$AH15,""))))</f>
        <v/>
      </c>
      <c r="IJ16" s="338" t="str">
        <f>IF(II16="","",VLOOKUP($II16,$CW$3:$DB$18,6,FALSE))</f>
        <v/>
      </c>
      <c r="IK16" s="338"/>
      <c r="IL16" s="338"/>
      <c r="IM16" s="338">
        <v>5</v>
      </c>
      <c r="IN16" s="338"/>
      <c r="IO16" s="132" t="str">
        <f>IF(II16="","",II16&amp;" ("&amp;IJ16&amp;")")</f>
        <v/>
      </c>
      <c r="IP16" s="351">
        <v>5</v>
      </c>
      <c r="IQ16" s="339" t="str">
        <f>IF(IO16="","",IO16)</f>
        <v/>
      </c>
      <c r="IU16" s="1111">
        <v>2</v>
      </c>
      <c r="IV16" s="695"/>
      <c r="IW16" s="696" t="str">
        <f t="shared" si="68"/>
        <v/>
      </c>
      <c r="IX16" s="697"/>
      <c r="IZ16" s="1111">
        <v>10</v>
      </c>
      <c r="JA16" s="695"/>
      <c r="JB16" s="696" t="str">
        <f t="shared" si="69"/>
        <v/>
      </c>
      <c r="JC16" s="697"/>
      <c r="JE16" s="1111">
        <v>18</v>
      </c>
      <c r="JF16" s="695"/>
      <c r="JG16" s="696" t="str">
        <f t="shared" si="70"/>
        <v/>
      </c>
      <c r="JH16" s="697"/>
      <c r="JI16" s="687"/>
      <c r="JJ16" s="1334">
        <v>2</v>
      </c>
      <c r="JK16" s="875">
        <v>76</v>
      </c>
      <c r="JL16" s="878" t="str">
        <f t="shared" si="108"/>
        <v/>
      </c>
      <c r="JM16" s="872" t="str">
        <f t="shared" si="71"/>
        <v/>
      </c>
      <c r="JN16" s="868" t="str">
        <f>IF($N$16="","",IF(AND($D$16=JL$11,$F$16&lt;&gt;""),$F$16,IF(AND($D$16=JL$11,$L$16&lt;&gt;""),$L$16,IF($D$16=JL$11,$M$16,""))))</f>
        <v/>
      </c>
      <c r="JO16" s="878" t="str">
        <f t="shared" si="109"/>
        <v/>
      </c>
      <c r="JP16" s="872" t="str">
        <f t="shared" si="72"/>
        <v/>
      </c>
      <c r="JQ16" s="868" t="str">
        <f>IF($N$16="","",IF(AND($D$16=JO$11,$F$16&lt;&gt;""),$F$16,IF(AND($D$16=JO$11,$L$16&lt;&gt;""),$L$16,IF($D$16=JO$11,$M$16,""))))</f>
        <v/>
      </c>
      <c r="JR16" s="878" t="str">
        <f t="shared" si="73"/>
        <v/>
      </c>
      <c r="JS16" s="872" t="str">
        <f t="shared" si="74"/>
        <v/>
      </c>
      <c r="JT16" s="868" t="str">
        <f>IF($N$16="","",IF(AND($D$16=JR$11,$F$16&lt;&gt;""),$F$16,IF(AND($D$16=JR$11,$L$16&lt;&gt;""),$L$16,IF($D$16=JR$11,$M$16,""))))</f>
        <v/>
      </c>
      <c r="JU16" s="878" t="str">
        <f t="shared" si="75"/>
        <v/>
      </c>
      <c r="JV16" s="872" t="str">
        <f t="shared" si="76"/>
        <v/>
      </c>
      <c r="JW16" s="868" t="str">
        <f>IF($N$16="","",IF(AND($D$16=JU$11,$F$16&lt;&gt;""),$F$16,IF(AND($D$16=JU$11,$L$16&lt;&gt;""),$L$16,IF($D$16=JU$11,$M$16,""))))</f>
        <v/>
      </c>
      <c r="JX16" s="878" t="str">
        <f t="shared" si="77"/>
        <v/>
      </c>
      <c r="JY16" s="872" t="str">
        <f t="shared" si="78"/>
        <v/>
      </c>
      <c r="JZ16" s="868" t="str">
        <f>IF($N$16="","",IF(AND($D$16=JX$11,$F$16&lt;&gt;""),$F$16,IF(AND($D$16=JX$11,$L$16&lt;&gt;""),$L$16,IF($D$16=JX$11,$M$16,""))))</f>
        <v/>
      </c>
      <c r="KA16" s="878" t="str">
        <f t="shared" si="79"/>
        <v/>
      </c>
      <c r="KB16" s="872" t="str">
        <f t="shared" si="80"/>
        <v/>
      </c>
      <c r="KC16" s="868" t="str">
        <f>IF($N$16="","",IF(AND($D$16=KA$11,$F$16&lt;&gt;""),$F$16,IF(AND($D$16=KA$11,$L$16&lt;&gt;""),$L$16,IF($D$16=KA$11,$M$16,""))))</f>
        <v/>
      </c>
      <c r="KD16" s="878" t="str">
        <f t="shared" si="81"/>
        <v/>
      </c>
      <c r="KE16" s="872" t="str">
        <f t="shared" si="82"/>
        <v/>
      </c>
      <c r="KF16" s="868" t="str">
        <f>IF($N$16="","",IF(AND($D$16=KD$11,$F$16&lt;&gt;""),$F$16,IF(AND($D$16=KD$11,$L$16&lt;&gt;""),$L$16,IF($D$16=KD$11,$M$16,""))))</f>
        <v/>
      </c>
      <c r="KG16" s="878" t="str">
        <f t="shared" si="83"/>
        <v/>
      </c>
      <c r="KH16" s="872" t="str">
        <f t="shared" si="84"/>
        <v/>
      </c>
      <c r="KI16" s="868" t="str">
        <f>IF($N$16="","",IF(AND($D$16=KG$11,$F$16&lt;&gt;""),$F$16,IF(AND($D$16=KG$11,$L$16&lt;&gt;""),$L$16,IF($D$16=KG$11,$M$16,""))))</f>
        <v/>
      </c>
      <c r="KJ16" s="878" t="str">
        <f t="shared" si="85"/>
        <v/>
      </c>
      <c r="KK16" s="872" t="str">
        <f t="shared" si="86"/>
        <v/>
      </c>
      <c r="KL16" s="868" t="str">
        <f>IF($N$16="","",IF(AND($D$16=KJ$11,$F$16&lt;&gt;""),$F$16,IF(AND($D$16=KJ$11,$L$16&lt;&gt;""),$L$16,IF($D$16=KJ$11,$M$16,""))))</f>
        <v/>
      </c>
      <c r="KM16" s="878" t="str">
        <f t="shared" si="87"/>
        <v/>
      </c>
      <c r="KN16" s="872" t="str">
        <f t="shared" si="88"/>
        <v/>
      </c>
      <c r="KO16" s="868" t="str">
        <f>IF($N$16="","",IF(AND($D$16=KM$11,$F$16&lt;&gt;""),$F$16,IF(AND($D$16=KM$11,$L$16&lt;&gt;""),$L$16,IF($D$16=KM$11,$M$16,""))))</f>
        <v/>
      </c>
      <c r="KP16" s="878" t="str">
        <f t="shared" si="89"/>
        <v/>
      </c>
      <c r="KQ16" s="872" t="str">
        <f t="shared" si="90"/>
        <v/>
      </c>
      <c r="KR16" s="868" t="str">
        <f>IF($N$16="","",IF(AND($D$16=KP$11,$F$16&lt;&gt;""),$F$16,IF(AND($D$16=KP$11,$L$16&lt;&gt;""),$L$16,IF($D$16=KP$11,$M$16,""))))</f>
        <v/>
      </c>
      <c r="KS16" s="878" t="str">
        <f t="shared" si="91"/>
        <v/>
      </c>
      <c r="KT16" s="872" t="str">
        <f t="shared" si="92"/>
        <v/>
      </c>
      <c r="KU16" s="868" t="str">
        <f>IF($N$16="","",IF(AND($D$16=KS$11,$F$16&lt;&gt;""),$F$16,IF(AND($D$16=KS$11,$L$16&lt;&gt;""),$L$16,IF($D$16=KS$11,$M$16,""))))</f>
        <v/>
      </c>
      <c r="KV16" s="878" t="str">
        <f t="shared" si="93"/>
        <v/>
      </c>
      <c r="KW16" s="872" t="str">
        <f t="shared" si="94"/>
        <v/>
      </c>
      <c r="KX16" s="868" t="str">
        <f>IF($N$16="","",IF(AND($D$16=KV$11,$F$16&lt;&gt;""),$F$16,IF(AND($D$16=KV$11,$L$16&lt;&gt;""),$L$16,IF($D$16=KV$11,$M$16,""))))</f>
        <v/>
      </c>
      <c r="KY16" s="878" t="str">
        <f t="shared" si="95"/>
        <v/>
      </c>
      <c r="KZ16" s="872" t="str">
        <f t="shared" si="96"/>
        <v/>
      </c>
      <c r="LA16" s="868" t="str">
        <f>IF($N$16="","",IF(AND($D$16=KY$11,$F$16&lt;&gt;""),$F$16,IF(AND($D$16=KY$11,$L$16&lt;&gt;""),$L$16,IF($D$16=KY$11,$M$16,""))))</f>
        <v/>
      </c>
      <c r="LB16" s="878" t="str">
        <f t="shared" si="97"/>
        <v/>
      </c>
      <c r="LC16" s="872" t="str">
        <f t="shared" si="98"/>
        <v/>
      </c>
      <c r="LD16" s="868" t="str">
        <f>IF($N$16="","",IF(AND($D$16=LB$11,$F$16&lt;&gt;""),$F$16,IF(AND($D$16=LB$11,$L$16&lt;&gt;""),$L$16,IF($D$16=LB$11,$M$16,""))))</f>
        <v/>
      </c>
      <c r="LE16" s="878" t="str">
        <f t="shared" si="99"/>
        <v/>
      </c>
      <c r="LF16" s="872" t="str">
        <f t="shared" si="100"/>
        <v/>
      </c>
      <c r="LG16" s="868" t="str">
        <f>IF($N$16="","",IF(AND($D$16=LE$11,$F$16&lt;&gt;""),$F$16,IF(AND($D$16=LE$11,$L$16&lt;&gt;""),$L$16,IF($D$16=LE$11,$M$16,""))))</f>
        <v/>
      </c>
      <c r="LH16"/>
      <c r="LI16"/>
      <c r="LJ16"/>
      <c r="LK16"/>
      <c r="LL16"/>
      <c r="LM16"/>
    </row>
    <row r="17" spans="1:325" ht="12.75" customHeight="1">
      <c r="A17" s="1212"/>
      <c r="B17" s="39">
        <v>12</v>
      </c>
      <c r="C17" s="101">
        <f t="shared" si="101"/>
        <v>11</v>
      </c>
      <c r="D17" s="517" t="str">
        <f t="shared" si="102"/>
        <v>Vitaly Khomitsevich</v>
      </c>
      <c r="E17" s="1011"/>
      <c r="F17" s="1015" t="str">
        <f t="shared" si="47"/>
        <v/>
      </c>
      <c r="G17" s="545"/>
      <c r="H17" s="1198" t="str">
        <f t="shared" si="48"/>
        <v/>
      </c>
      <c r="I17" s="1198"/>
      <c r="J17" s="1198"/>
      <c r="K17" s="1198"/>
      <c r="L17" s="508"/>
      <c r="M17" s="146" t="str">
        <f>IF(N16="","",IF(N16="B",3,IF(N17="B",2,IF(N18="B",1,IF(N19="B",0,0)))))</f>
        <v/>
      </c>
      <c r="N17" s="707"/>
      <c r="O17" s="268"/>
      <c r="P17" s="1212"/>
      <c r="Q17" s="39">
        <v>4</v>
      </c>
      <c r="R17" s="101">
        <f t="shared" si="49"/>
        <v>6</v>
      </c>
      <c r="S17" s="517" t="str">
        <f t="shared" si="50"/>
        <v>Jan Klatovsky</v>
      </c>
      <c r="T17" s="1011"/>
      <c r="U17" s="1015" t="str">
        <f t="shared" si="51"/>
        <v/>
      </c>
      <c r="V17" s="545"/>
      <c r="W17" s="1198" t="str">
        <f t="shared" si="52"/>
        <v/>
      </c>
      <c r="X17" s="1198"/>
      <c r="Y17" s="1198"/>
      <c r="Z17" s="1198"/>
      <c r="AA17" s="508"/>
      <c r="AB17" s="146" t="str">
        <f>IF(AC16="","",IF(AC16="B",3,IF(AC17="B",2,IF(AC18="B",1,IF(AC19="B",0,0)))))</f>
        <v/>
      </c>
      <c r="AC17" s="724"/>
      <c r="AD17" s="269"/>
      <c r="AE17" s="1212"/>
      <c r="AF17" s="39">
        <v>14</v>
      </c>
      <c r="AG17" s="101">
        <f t="shared" si="53"/>
        <v>8</v>
      </c>
      <c r="AH17" s="517" t="str">
        <f t="shared" si="54"/>
        <v>Stefan Pletschacher</v>
      </c>
      <c r="AI17" s="1011"/>
      <c r="AJ17" s="1015" t="str">
        <f t="shared" si="55"/>
        <v/>
      </c>
      <c r="AK17" s="545"/>
      <c r="AL17" s="1198" t="str">
        <f t="shared" si="56"/>
        <v/>
      </c>
      <c r="AM17" s="1198"/>
      <c r="AN17" s="1198"/>
      <c r="AO17" s="1198"/>
      <c r="AP17" s="508"/>
      <c r="AQ17" s="146" t="str">
        <f>IF(AR16="","",IF(AR16="B",3,IF(AR17="B",2,IF(AR18="B",1,IF(AR19="B",0,0)))))</f>
        <v/>
      </c>
      <c r="AR17" s="724"/>
      <c r="AS17" s="268"/>
      <c r="AT17" s="195" t="str">
        <f t="shared" si="57"/>
        <v/>
      </c>
      <c r="AU17" s="65" t="str">
        <f t="shared" si="57"/>
        <v/>
      </c>
      <c r="AV17" s="94" t="str">
        <f t="shared" si="58"/>
        <v>Jan Klatovsky</v>
      </c>
      <c r="AW17" s="3" t="str">
        <f t="shared" si="59"/>
        <v/>
      </c>
      <c r="AX17" s="4" t="str">
        <f t="shared" si="59"/>
        <v/>
      </c>
      <c r="AY17" s="4" t="str">
        <f t="shared" si="59"/>
        <v/>
      </c>
      <c r="AZ17" s="4" t="str">
        <f t="shared" si="59"/>
        <v/>
      </c>
      <c r="BA17" s="26" t="str">
        <f t="shared" si="59"/>
        <v/>
      </c>
      <c r="BB17" s="189">
        <f t="shared" si="59"/>
        <v>0</v>
      </c>
      <c r="BD17" s="192" t="str">
        <f t="shared" si="60"/>
        <v/>
      </c>
      <c r="BE17" s="131" t="str">
        <f t="shared" si="103"/>
        <v/>
      </c>
      <c r="BF17" s="95" t="str">
        <f t="shared" si="103"/>
        <v/>
      </c>
      <c r="BG17"/>
      <c r="BH17" s="390">
        <f t="shared" si="104"/>
        <v>4</v>
      </c>
      <c r="BI17" s="974">
        <v>13</v>
      </c>
      <c r="BJ17" s="762">
        <f>MAX(BJ12:BJ16)</f>
        <v>0</v>
      </c>
      <c r="BK17" s="451">
        <v>11</v>
      </c>
      <c r="BM17" s="8" t="str">
        <f>$M17</f>
        <v/>
      </c>
      <c r="BR17" s="8" t="str">
        <f>$AB17</f>
        <v/>
      </c>
      <c r="BW17" s="8" t="str">
        <f>$AQ17</f>
        <v/>
      </c>
      <c r="BY17" s="8"/>
      <c r="BZ17" s="762">
        <v>6</v>
      </c>
      <c r="CA17" s="762" t="str">
        <f t="shared" si="61"/>
        <v/>
      </c>
      <c r="CB17" s="13">
        <v>2</v>
      </c>
      <c r="CC17" s="49">
        <f t="shared" si="4"/>
        <v>1</v>
      </c>
      <c r="CD17" s="50" t="str">
        <f t="shared" si="26"/>
        <v>=</v>
      </c>
      <c r="CE17" s="31">
        <v>15</v>
      </c>
      <c r="CF17" s="121">
        <f t="shared" si="5"/>
        <v>6</v>
      </c>
      <c r="CG17" s="126"/>
      <c r="CH17" s="74" t="str">
        <f t="shared" si="27"/>
        <v>Rene Stellingwerf</v>
      </c>
      <c r="CI17" s="278">
        <f t="shared" si="6"/>
        <v>0</v>
      </c>
      <c r="CJ17" s="85" t="str">
        <f t="shared" si="7"/>
        <v/>
      </c>
      <c r="CK17" s="70" t="str">
        <f t="shared" si="7"/>
        <v/>
      </c>
      <c r="CL17" s="70" t="str">
        <f t="shared" si="7"/>
        <v/>
      </c>
      <c r="CM17" s="70" t="str">
        <f t="shared" si="7"/>
        <v/>
      </c>
      <c r="CN17" s="86" t="str">
        <f t="shared" si="7"/>
        <v/>
      </c>
      <c r="CO17" s="79">
        <f t="shared" si="28"/>
        <v>0</v>
      </c>
      <c r="CP17" s="52"/>
      <c r="CQ17" s="249"/>
      <c r="CR17" s="27">
        <f t="shared" si="8"/>
        <v>6</v>
      </c>
      <c r="CS17" s="258">
        <f>RANK(DP17,$DP$3:$DP$20)+COUNTIF(DP$3:DP17,DP17)-1</f>
        <v>2</v>
      </c>
      <c r="CT17" s="32">
        <f t="shared" si="44"/>
        <v>15</v>
      </c>
      <c r="CU17" s="423">
        <f>VLOOKUP(CW17,Draw!$B$3:$C$42,2,FALSE)</f>
        <v>2</v>
      </c>
      <c r="CV17" s="185">
        <f>VLOOKUP(CW17,Draw!$B$3:$C$42,2,FALSE)</f>
        <v>2</v>
      </c>
      <c r="CW17" s="33" t="str">
        <f t="shared" si="45"/>
        <v>Dimitry Koltakov</v>
      </c>
      <c r="CX17" s="4" t="str">
        <f t="shared" si="46"/>
        <v/>
      </c>
      <c r="CY17" s="4" t="str">
        <f t="shared" si="46"/>
        <v/>
      </c>
      <c r="CZ17" s="4" t="str">
        <f t="shared" si="46"/>
        <v/>
      </c>
      <c r="DA17" s="4" t="str">
        <f t="shared" si="46"/>
        <v/>
      </c>
      <c r="DB17" s="34" t="str">
        <f t="shared" si="46"/>
        <v/>
      </c>
      <c r="DC17" s="250">
        <f t="shared" si="12"/>
        <v>0</v>
      </c>
      <c r="DD17" s="243">
        <f t="shared" si="13"/>
        <v>0</v>
      </c>
      <c r="DE17" s="236">
        <f t="shared" si="29"/>
        <v>0</v>
      </c>
      <c r="DF17" s="232">
        <f t="shared" si="14"/>
        <v>0</v>
      </c>
      <c r="DG17" s="234">
        <f t="shared" si="30"/>
        <v>0</v>
      </c>
      <c r="DH17" s="232">
        <f t="shared" si="15"/>
        <v>0</v>
      </c>
      <c r="DI17" s="41">
        <f t="shared" si="31"/>
        <v>0</v>
      </c>
      <c r="DJ17" s="271">
        <f t="shared" si="16"/>
        <v>0</v>
      </c>
      <c r="DK17" s="602">
        <f t="shared" si="32"/>
        <v>0</v>
      </c>
      <c r="DL17" s="281">
        <f t="shared" si="17"/>
        <v>0</v>
      </c>
      <c r="DM17" s="644">
        <f t="shared" si="43"/>
        <v>5.7999999999999995E-7</v>
      </c>
      <c r="DN17" s="285">
        <f t="shared" si="18"/>
        <v>0</v>
      </c>
      <c r="DO17" s="285">
        <f t="shared" si="19"/>
        <v>0</v>
      </c>
      <c r="DP17" s="648">
        <f t="shared" si="33"/>
        <v>5.7999999999999995E-7</v>
      </c>
      <c r="DQ17" s="595"/>
      <c r="DR17" s="205">
        <f>IF($DN$17=$DN$3,$CV$17,"")</f>
        <v>2</v>
      </c>
      <c r="DS17" s="4">
        <f>IF($DN$17=$DN$4,$CV$17,"")</f>
        <v>2</v>
      </c>
      <c r="DT17" s="4">
        <f>IF($DN$17=$DN$5,$CV$17,"")</f>
        <v>2</v>
      </c>
      <c r="DU17" s="4">
        <f>IF($DN$17=$DN$6,$CV$17,"")</f>
        <v>2</v>
      </c>
      <c r="DV17" s="4">
        <f>IF($DN$17=$DN$7,$CV$17,"")</f>
        <v>2</v>
      </c>
      <c r="DW17" s="4">
        <f>IF($DN$17=$DN$8,$CV$17,"")</f>
        <v>2</v>
      </c>
      <c r="DX17" s="4">
        <f>IF($DN$17=$DN$9,$CV$17,"")</f>
        <v>2</v>
      </c>
      <c r="DY17" s="4">
        <f>IF($DN$17=$DN$10,$CV$17,"")</f>
        <v>2</v>
      </c>
      <c r="DZ17" s="4">
        <f>IF($DN$17=$DN$11,$CV$17,"")</f>
        <v>2</v>
      </c>
      <c r="EA17" s="4">
        <f>IF($DN$17=$DN$12,$CV$17,"")</f>
        <v>2</v>
      </c>
      <c r="EB17" s="4">
        <f>IF($DN$17=$DN$13,$CV$17,"")</f>
        <v>2</v>
      </c>
      <c r="EC17" s="4">
        <f>IF($DN$17=$DN$14,$CV$17,"")</f>
        <v>2</v>
      </c>
      <c r="ED17" s="4">
        <f>IF($DN$17=$DN$15,$CV$17,"")</f>
        <v>2</v>
      </c>
      <c r="EE17" s="4">
        <f>IF($DN$17=$DN$16,$CV$17,"")</f>
        <v>2</v>
      </c>
      <c r="EF17" s="208"/>
      <c r="EG17" s="225">
        <f>IF($DN$17=$DN$18,$CV$17,"")</f>
        <v>2</v>
      </c>
      <c r="EH17" s="215">
        <f>$AG$8</f>
        <v>2</v>
      </c>
      <c r="EI17" s="205" t="b">
        <f>IF($DR$17="","",$FT$17)</f>
        <v>0</v>
      </c>
      <c r="EJ17" s="4" t="b">
        <f>IF($DS$17="","",$FU$17)</f>
        <v>0</v>
      </c>
      <c r="EK17" s="4" t="b">
        <f>IF($DT$17="","",$FV$17)</f>
        <v>0</v>
      </c>
      <c r="EL17" s="4" t="b">
        <f>IF($DU$17="","",$FW$17)</f>
        <v>0</v>
      </c>
      <c r="EM17" s="4" t="b">
        <f>IF($DV$17="","",$FX$17)</f>
        <v>0</v>
      </c>
      <c r="EN17" s="4" t="b">
        <f>IF($DW$17="","",$FY$17)</f>
        <v>0</v>
      </c>
      <c r="EO17" s="4" t="b">
        <f>IF($DX$17="","",$FZ$17)</f>
        <v>0</v>
      </c>
      <c r="EP17" s="4" t="b">
        <f>IF($DY$17="","",$GA$17)</f>
        <v>0</v>
      </c>
      <c r="EQ17" s="4" t="b">
        <f>IF($DZ$17="","",$GB$17)</f>
        <v>0</v>
      </c>
      <c r="ER17" s="4" t="b">
        <f>IF($EA$17="","",$GC$17)</f>
        <v>0</v>
      </c>
      <c r="ES17" s="4" t="b">
        <f>IF($EB$17="","",$GD$17)</f>
        <v>0</v>
      </c>
      <c r="ET17" s="4" t="b">
        <f>IF($EC$17="","",$GE$17)</f>
        <v>0</v>
      </c>
      <c r="EU17" s="4" t="b">
        <f>IF($ED$17="","",$GF$17)</f>
        <v>0</v>
      </c>
      <c r="EV17" s="4" t="b">
        <f>IF($EE$17="","",$GG$17)</f>
        <v>0</v>
      </c>
      <c r="EW17" s="208"/>
      <c r="EX17" s="225" t="b">
        <f>IF($EG$17="","",$GI$17)</f>
        <v>0</v>
      </c>
      <c r="EY17" s="230">
        <f>COUNTIF($EI$17:$EX$17,$EH$17)</f>
        <v>0</v>
      </c>
      <c r="FA17" s="130">
        <f t="shared" si="20"/>
        <v>2</v>
      </c>
      <c r="FB17" s="13" t="str">
        <f t="shared" si="20"/>
        <v>Dimitry Koltakov</v>
      </c>
      <c r="FC17" s="129">
        <f t="shared" si="34"/>
        <v>0</v>
      </c>
      <c r="FD17" s="129">
        <f t="shared" si="21"/>
        <v>0</v>
      </c>
      <c r="FE17" s="504">
        <v>0</v>
      </c>
      <c r="FF17" s="129">
        <f t="shared" si="35"/>
        <v>0</v>
      </c>
      <c r="FG17" s="483">
        <f t="shared" si="22"/>
        <v>5.7999999999999995E-7</v>
      </c>
      <c r="FH17" s="483">
        <f t="shared" si="36"/>
        <v>5.7999999999999995E-7</v>
      </c>
      <c r="FI17" s="176">
        <f t="shared" si="37"/>
        <v>5.7999999999999995E-7</v>
      </c>
      <c r="FJ17" s="484">
        <f t="shared" si="23"/>
        <v>5.7999999999999995E-7</v>
      </c>
      <c r="FK17" s="762">
        <f t="shared" si="24"/>
        <v>2</v>
      </c>
      <c r="FL17" s="762">
        <v>15</v>
      </c>
      <c r="FM17" s="762">
        <f t="shared" si="38"/>
        <v>0</v>
      </c>
      <c r="FN17" s="512"/>
      <c r="FO17" s="13" t="str">
        <f t="shared" si="39"/>
        <v>Rene Stellingwerf</v>
      </c>
      <c r="FP17" s="496">
        <f t="shared" si="42"/>
        <v>0</v>
      </c>
      <c r="FQ17" s="13">
        <f t="shared" si="25"/>
        <v>0</v>
      </c>
      <c r="FS17" s="215">
        <f>$AG$8</f>
        <v>2</v>
      </c>
      <c r="FT17" s="205" t="b">
        <f>IF($AB$34&gt;$AB$35,$FS$3,IF($AB$34&lt;$AB$35,$FS$17))</f>
        <v>0</v>
      </c>
      <c r="FU17" s="4" t="b">
        <f>IF($AQ$26&gt;$AQ$24,$FS$4,IF($AQ$26&lt;$AQ$24,$FS$17))</f>
        <v>0</v>
      </c>
      <c r="FV17" s="4" t="b">
        <f>IF($AQ$27&gt;$AQ$24,$FS$5,IF($AQ$27&lt;$AQ$24,$FS$17))</f>
        <v>0</v>
      </c>
      <c r="FW17" s="4" t="b">
        <f>IF($M$16&gt;$M$19,$FS$6,IF($M$16&lt;$M$19,$FS$17))</f>
        <v>0</v>
      </c>
      <c r="FX17" s="4" t="b">
        <f>IF($AQ$25&gt;$AQ$24,$FS$7,IF($AQ$25&lt;$AQ$24,$FS$17))</f>
        <v>0</v>
      </c>
      <c r="FY17" s="4" t="b">
        <f>IF($AB$32&gt;$AB$35,$FS$8,IF($AB$32&lt;$AB$35,$FS$17))</f>
        <v>0</v>
      </c>
      <c r="FZ17" s="4" t="b">
        <f>IF($AB$23&gt;$AB$22,$FS$9,IF($AB$23&lt;$AB$22,$FS$16))</f>
        <v>0</v>
      </c>
      <c r="GA17" s="4" t="b">
        <f>IF($AB$20&gt;$AB$22,$FS$10,IF($AB$20&lt;$AB$22,$FS$17))</f>
        <v>0</v>
      </c>
      <c r="GB17" s="4" t="b">
        <f>IF($AB$33&gt;$AB$35,$FS$11,IF($AB$33&lt;$AB$35,$FS$17))</f>
        <v>0</v>
      </c>
      <c r="GC17" s="4" t="b">
        <f>IF($M$40&gt;$M$41,$FS$12,IF($M$40&lt;$M$41,$FS$17))</f>
        <v>0</v>
      </c>
      <c r="GD17" s="4" t="b">
        <f>IF($M$43&gt;$M$41,$FS$13,IF($M$43&lt;$M$41,$FS$17))</f>
        <v>0</v>
      </c>
      <c r="GE17" s="4" t="b">
        <f>IF($M$17&gt;$M$19,$FS$14,IF($M$17&lt;$M$19,$FS$17))</f>
        <v>0</v>
      </c>
      <c r="GF17" s="4" t="b">
        <f>IF($M$42&gt;$M$41,$FS$15,IF($M$42&lt;$M$41,$FS$17))</f>
        <v>0</v>
      </c>
      <c r="GG17" s="4" t="b">
        <f>IF($AB$21&gt;$AB$22,$FS$16,IF($AB$21&lt;$AB$22,$FS$17))</f>
        <v>0</v>
      </c>
      <c r="GH17" s="208"/>
      <c r="GI17" s="225" t="b">
        <f>IF($M$19&gt;$M$18,$FS$17,IF($M$19&lt;$M$18,$FS$18))</f>
        <v>0</v>
      </c>
      <c r="GK17" s="8">
        <v>15</v>
      </c>
      <c r="GL17" s="205"/>
      <c r="GM17" s="4"/>
      <c r="GN17" s="4"/>
      <c r="GO17" s="4"/>
      <c r="GP17" s="225"/>
      <c r="GQ17" s="230">
        <f t="shared" si="41"/>
        <v>0</v>
      </c>
      <c r="GR17" s="601">
        <f t="shared" si="40"/>
        <v>0</v>
      </c>
      <c r="GW17" s="1144"/>
      <c r="GX17" s="230" t="str">
        <f>IF($N$16="","",IF($IW$17=$GX$3,$IX$17,IF(AND($H$17=$GX$3,$L$17&lt;&gt;""),$L$17,IF(AND($H$17=$GX$3,$L$17=""),$M$17,""))))</f>
        <v/>
      </c>
      <c r="GY17" s="301">
        <v>75</v>
      </c>
      <c r="GZ17" s="5" t="str">
        <f t="shared" si="105"/>
        <v/>
      </c>
      <c r="HA17" s="95" t="str">
        <f t="shared" si="62"/>
        <v/>
      </c>
      <c r="HB17" s="5"/>
      <c r="HC17" s="95" t="str">
        <f t="shared" si="106"/>
        <v/>
      </c>
      <c r="HG17" s="1144"/>
      <c r="HH17" s="230" t="str">
        <f>IF($N$16="","",IF($IW$17=$HH$3,$IX$17,IF(AND($H$17=$HH$3,$L$17&lt;&gt;""),$L$17,IF(AND($H$17=$HH$3,$L$17=""),$M$17,""))))</f>
        <v/>
      </c>
      <c r="HI17" s="301">
        <v>75</v>
      </c>
      <c r="HJ17" s="5" t="str">
        <f t="shared" si="107"/>
        <v/>
      </c>
      <c r="HK17" s="95" t="str">
        <f t="shared" si="63"/>
        <v/>
      </c>
      <c r="HL17" s="5"/>
      <c r="HM17" s="95" t="str">
        <f t="shared" si="64"/>
        <v/>
      </c>
      <c r="HN17" s="1148">
        <v>2</v>
      </c>
      <c r="HO17" s="346" t="str">
        <f>IF($H16="",$D16,$H16)</f>
        <v>Jan Klatovsky</v>
      </c>
      <c r="HP17" s="883" t="str">
        <f>M16</f>
        <v/>
      </c>
      <c r="HQ17" s="335" t="str">
        <f>IF($L16="","",$L16)</f>
        <v/>
      </c>
      <c r="HR17" s="335">
        <v>0.04</v>
      </c>
      <c r="HS17" s="456" t="str">
        <f>IF(HQ17&lt;&gt;"",-1,HP17)</f>
        <v/>
      </c>
      <c r="HT17" s="457" t="e">
        <f>RANK(HS17,HS17:HS20)+COUNTIF(HS17:HS17,HS17)-1</f>
        <v>#VALUE!</v>
      </c>
      <c r="HU17" s="335" t="str">
        <f>IF(HQ17="",HO17,HO17&amp;" ("&amp;HQ17&amp;")")</f>
        <v>Jan Klatovsky</v>
      </c>
      <c r="HV17" s="347">
        <v>1</v>
      </c>
      <c r="HW17" s="336" t="str">
        <f>IF(N16="","",VLOOKUP(HV17,HT17:HU20,2,FALSE))</f>
        <v/>
      </c>
      <c r="HX17" s="1148">
        <v>10</v>
      </c>
      <c r="HY17" s="346" t="str">
        <f>IF($W16="",$S16,$W16)</f>
        <v>Daniel Henderson</v>
      </c>
      <c r="HZ17" s="335" t="str">
        <f>AB16</f>
        <v/>
      </c>
      <c r="IA17" s="335" t="str">
        <f>IF($AA16="","",$AA16)</f>
        <v/>
      </c>
      <c r="IB17" s="335">
        <v>0.04</v>
      </c>
      <c r="IC17" s="456" t="str">
        <f>IF(IA17&lt;&gt;"",-1,HZ17)</f>
        <v/>
      </c>
      <c r="ID17" s="457" t="e">
        <f>RANK(IC17,IC17:IC20)+COUNTIF(IC17:IC17,IC17)-1</f>
        <v>#VALUE!</v>
      </c>
      <c r="IE17" s="335" t="str">
        <f>IF(IA17="",HY17,HY17&amp;" ("&amp;IA17&amp;")")</f>
        <v>Daniel Henderson</v>
      </c>
      <c r="IF17" s="350">
        <v>1</v>
      </c>
      <c r="IG17" s="336" t="str">
        <f>IF(AC16="","",VLOOKUP(IF17,ID17:IE20,2,FALSE))</f>
        <v/>
      </c>
      <c r="IH17" s="1148">
        <v>18</v>
      </c>
      <c r="II17" s="346" t="str">
        <f>IF($AL16="",$AH16,$AL16)</f>
        <v>Vitaly Khomitsevich</v>
      </c>
      <c r="IJ17" s="335" t="str">
        <f>AQ16</f>
        <v/>
      </c>
      <c r="IK17" s="335" t="str">
        <f>IF($AP16="","",$AP16)</f>
        <v/>
      </c>
      <c r="IL17" s="335">
        <v>0.04</v>
      </c>
      <c r="IM17" s="456" t="str">
        <f t="shared" si="67"/>
        <v/>
      </c>
      <c r="IN17" s="457" t="e">
        <f>RANK(IM17,IM17:IM20)+COUNTIF(IM17:IM17,IM17)-1</f>
        <v>#VALUE!</v>
      </c>
      <c r="IO17" s="335" t="str">
        <f>IF(IK17="",II17,II17&amp;" ("&amp;IK17&amp;")")</f>
        <v>Vitaly Khomitsevich</v>
      </c>
      <c r="IP17" s="350">
        <v>1</v>
      </c>
      <c r="IQ17" s="336" t="str">
        <f>IF(AR16="","",VLOOKUP(IP17,IN17:IO20,2,FALSE))</f>
        <v/>
      </c>
      <c r="IU17" s="1112"/>
      <c r="IV17" s="698"/>
      <c r="IW17" s="699" t="str">
        <f t="shared" si="68"/>
        <v/>
      </c>
      <c r="IX17" s="700"/>
      <c r="IZ17" s="1112"/>
      <c r="JA17" s="698"/>
      <c r="JB17" s="699" t="str">
        <f t="shared" si="69"/>
        <v/>
      </c>
      <c r="JC17" s="700"/>
      <c r="JE17" s="1112"/>
      <c r="JF17" s="698"/>
      <c r="JG17" s="699" t="str">
        <f t="shared" si="70"/>
        <v/>
      </c>
      <c r="JH17" s="700"/>
      <c r="JI17" s="687"/>
      <c r="JJ17" s="1335"/>
      <c r="JK17" s="876">
        <v>75</v>
      </c>
      <c r="JL17" s="879" t="str">
        <f t="shared" si="108"/>
        <v/>
      </c>
      <c r="JM17" s="655" t="str">
        <f t="shared" si="71"/>
        <v/>
      </c>
      <c r="JN17" s="869" t="str">
        <f>IF($N$16="","",IF(AND($D$17=JL$11,$F$17&lt;&gt;""),$F$17,IF(AND($D$17=JL$11,$L$17&lt;&gt;""),$L$17,IF($D$17=JL$11,$M$17,""))))</f>
        <v/>
      </c>
      <c r="JO17" s="879" t="str">
        <f t="shared" si="109"/>
        <v/>
      </c>
      <c r="JP17" s="655" t="str">
        <f t="shared" si="72"/>
        <v/>
      </c>
      <c r="JQ17" s="869" t="str">
        <f>IF($N$16="","",IF(AND($D$17=JO$11,$F$17&lt;&gt;""),$F$17,IF(AND($D$17=JO$11,$L$17&lt;&gt;""),$L$17,IF($D$17=JO$11,$M$17,""))))</f>
        <v/>
      </c>
      <c r="JR17" s="879" t="str">
        <f t="shared" si="73"/>
        <v/>
      </c>
      <c r="JS17" s="655" t="str">
        <f t="shared" si="74"/>
        <v/>
      </c>
      <c r="JT17" s="869" t="str">
        <f>IF($N$16="","",IF(AND($D$17=JR$11,$F$17&lt;&gt;""),$F$17,IF(AND($D$17=JR$11,$L$17&lt;&gt;""),$L$17,IF($D$17=JR$11,$M$17,""))))</f>
        <v/>
      </c>
      <c r="JU17" s="879" t="str">
        <f t="shared" si="75"/>
        <v/>
      </c>
      <c r="JV17" s="655" t="str">
        <f t="shared" si="76"/>
        <v/>
      </c>
      <c r="JW17" s="869" t="str">
        <f>IF($N$16="","",IF(AND($D$17=JU$11,$F$17&lt;&gt;""),$F$17,IF(AND($D$17=JU$11,$L$17&lt;&gt;""),$L$17,IF($D$17=JU$11,$M$17,""))))</f>
        <v/>
      </c>
      <c r="JX17" s="879" t="str">
        <f t="shared" si="77"/>
        <v/>
      </c>
      <c r="JY17" s="655" t="str">
        <f t="shared" si="78"/>
        <v/>
      </c>
      <c r="JZ17" s="869" t="str">
        <f>IF($N$16="","",IF(AND($D$17=JX$11,$F$17&lt;&gt;""),$F$17,IF(AND($D$17=JX$11,$L$17&lt;&gt;""),$L$17,IF($D$17=JX$11,$M$17,""))))</f>
        <v/>
      </c>
      <c r="KA17" s="879" t="str">
        <f t="shared" si="79"/>
        <v/>
      </c>
      <c r="KB17" s="655" t="str">
        <f t="shared" si="80"/>
        <v/>
      </c>
      <c r="KC17" s="869" t="str">
        <f>IF($N$16="","",IF(AND($D$17=KA$11,$F$17&lt;&gt;""),$F$17,IF(AND($D$17=KA$11,$L$17&lt;&gt;""),$L$17,IF($D$17=KA$11,$M$17,""))))</f>
        <v/>
      </c>
      <c r="KD17" s="879" t="str">
        <f t="shared" si="81"/>
        <v/>
      </c>
      <c r="KE17" s="655" t="str">
        <f t="shared" si="82"/>
        <v/>
      </c>
      <c r="KF17" s="869" t="str">
        <f>IF($N$16="","",IF(AND($D$17=KD$11,$F$17&lt;&gt;""),$F$17,IF(AND($D$17=KD$11,$L$17&lt;&gt;""),$L$17,IF($D$17=KD$11,$M$17,""))))</f>
        <v/>
      </c>
      <c r="KG17" s="879" t="str">
        <f t="shared" si="83"/>
        <v/>
      </c>
      <c r="KH17" s="655" t="str">
        <f t="shared" si="84"/>
        <v/>
      </c>
      <c r="KI17" s="869" t="str">
        <f>IF($N$16="","",IF(AND($D$17=KG$11,$F$17&lt;&gt;""),$F$17,IF(AND($D$17=KG$11,$L$17&lt;&gt;""),$L$17,IF($D$17=KG$11,$M$17,""))))</f>
        <v/>
      </c>
      <c r="KJ17" s="879" t="str">
        <f t="shared" si="85"/>
        <v/>
      </c>
      <c r="KK17" s="655" t="str">
        <f t="shared" si="86"/>
        <v/>
      </c>
      <c r="KL17" s="869" t="str">
        <f>IF($N$16="","",IF(AND($D$17=KJ$11,$F$17&lt;&gt;""),$F$17,IF(AND($D$17=KJ$11,$L$17&lt;&gt;""),$L$17,IF($D$17=KJ$11,$M$17,""))))</f>
        <v/>
      </c>
      <c r="KM17" s="879" t="str">
        <f t="shared" si="87"/>
        <v/>
      </c>
      <c r="KN17" s="655" t="str">
        <f t="shared" si="88"/>
        <v/>
      </c>
      <c r="KO17" s="869" t="str">
        <f>IF($N$16="","",IF(AND($D$17=KM$11,$F$17&lt;&gt;""),$F$17,IF(AND($D$17=KM$11,$L$17&lt;&gt;""),$L$17,IF($D$17=KM$11,$M$17,""))))</f>
        <v/>
      </c>
      <c r="KP17" s="879" t="str">
        <f t="shared" si="89"/>
        <v/>
      </c>
      <c r="KQ17" s="655" t="str">
        <f t="shared" si="90"/>
        <v/>
      </c>
      <c r="KR17" s="869" t="str">
        <f>IF($N$16="","",IF(AND($D$17=KP$11,$F$17&lt;&gt;""),$F$17,IF(AND($D$17=KP$11,$L$17&lt;&gt;""),$L$17,IF($D$17=KP$11,$M$17,""))))</f>
        <v/>
      </c>
      <c r="KS17" s="879" t="str">
        <f t="shared" si="91"/>
        <v/>
      </c>
      <c r="KT17" s="655" t="str">
        <f t="shared" si="92"/>
        <v/>
      </c>
      <c r="KU17" s="869" t="str">
        <f>IF($N$16="","",IF(AND($D$17=KS$11,$F$17&lt;&gt;""),$F$17,IF(AND($D$17=KS$11,$L$17&lt;&gt;""),$L$17,IF($D$17=KS$11,$M$17,""))))</f>
        <v/>
      </c>
      <c r="KV17" s="879" t="str">
        <f t="shared" si="93"/>
        <v/>
      </c>
      <c r="KW17" s="655" t="str">
        <f t="shared" si="94"/>
        <v/>
      </c>
      <c r="KX17" s="869" t="str">
        <f>IF($N$16="","",IF(AND($D$17=KV$11,$F$17&lt;&gt;""),$F$17,IF(AND($D$17=KV$11,$L$17&lt;&gt;""),$L$17,IF($D$17=KV$11,$M$17,""))))</f>
        <v/>
      </c>
      <c r="KY17" s="879" t="str">
        <f t="shared" si="95"/>
        <v/>
      </c>
      <c r="KZ17" s="655" t="str">
        <f t="shared" si="96"/>
        <v/>
      </c>
      <c r="LA17" s="869" t="str">
        <f>IF($N$16="","",IF(AND($D$17=KY$11,$F$17&lt;&gt;""),$F$17,IF(AND($D$17=KY$11,$L$17&lt;&gt;""),$L$17,IF($D$17=KY$11,$M$17,""))))</f>
        <v/>
      </c>
      <c r="LB17" s="879" t="str">
        <f t="shared" si="97"/>
        <v/>
      </c>
      <c r="LC17" s="655" t="str">
        <f t="shared" si="98"/>
        <v/>
      </c>
      <c r="LD17" s="869" t="str">
        <f>IF($N$16="","",IF(AND($D$17=LB$11,$F$17&lt;&gt;""),$F$17,IF(AND($D$17=LB$11,$L$17&lt;&gt;""),$L$17,IF($D$17=LB$11,$M$17,""))))</f>
        <v/>
      </c>
      <c r="LE17" s="879" t="str">
        <f t="shared" si="99"/>
        <v/>
      </c>
      <c r="LF17" s="655" t="str">
        <f t="shared" si="100"/>
        <v/>
      </c>
      <c r="LG17" s="869" t="str">
        <f>IF($N$16="","",IF(AND($D$17=LE$11,$F$17&lt;&gt;""),$F$17,IF(AND($D$17=LE$11,$L$17&lt;&gt;""),$L$17,IF($D$17=LE$11,$M$17,""))))</f>
        <v/>
      </c>
      <c r="LH17"/>
      <c r="LI17"/>
      <c r="LJ17"/>
      <c r="LK17"/>
      <c r="LL17"/>
      <c r="LM17"/>
    </row>
    <row r="18" spans="1:325" ht="12.75" customHeight="1" thickBot="1">
      <c r="A18" s="1212"/>
      <c r="B18" s="39">
        <v>16</v>
      </c>
      <c r="C18" s="102">
        <f t="shared" si="101"/>
        <v>5</v>
      </c>
      <c r="D18" s="517" t="str">
        <f t="shared" si="102"/>
        <v>Stefan Svensson</v>
      </c>
      <c r="E18" s="1011"/>
      <c r="F18" s="1015" t="str">
        <f t="shared" si="47"/>
        <v/>
      </c>
      <c r="G18" s="545"/>
      <c r="H18" s="1198" t="str">
        <f t="shared" si="48"/>
        <v/>
      </c>
      <c r="I18" s="1198"/>
      <c r="J18" s="1198"/>
      <c r="K18" s="1198"/>
      <c r="L18" s="508"/>
      <c r="M18" s="146" t="str">
        <f>IF(N16="","",IF(N16="w",3,IF(N17="w",2,IF(N18="w",1,IF(N19="w",0,0)))))</f>
        <v/>
      </c>
      <c r="N18" s="707"/>
      <c r="O18" s="268"/>
      <c r="P18" s="1212"/>
      <c r="Q18" s="39">
        <v>5</v>
      </c>
      <c r="R18" s="102">
        <f t="shared" si="49"/>
        <v>14</v>
      </c>
      <c r="S18" s="517" t="str">
        <f t="shared" si="50"/>
        <v>Antonin Klatovsky</v>
      </c>
      <c r="T18" s="1011"/>
      <c r="U18" s="1015" t="str">
        <f t="shared" si="51"/>
        <v/>
      </c>
      <c r="V18" s="545"/>
      <c r="W18" s="1198" t="str">
        <f t="shared" si="52"/>
        <v/>
      </c>
      <c r="X18" s="1198"/>
      <c r="Y18" s="1198"/>
      <c r="Z18" s="1198"/>
      <c r="AA18" s="508"/>
      <c r="AB18" s="146" t="str">
        <f>IF(AC16="","",IF(AC16="w",3,IF(AC17="w",2,IF(AC18="w",1,IF(AC19="w",0,0)))))</f>
        <v/>
      </c>
      <c r="AC18" s="724"/>
      <c r="AD18" s="269"/>
      <c r="AE18" s="1212"/>
      <c r="AF18" s="39">
        <v>6</v>
      </c>
      <c r="AG18" s="102">
        <f t="shared" si="53"/>
        <v>16</v>
      </c>
      <c r="AH18" s="517" t="str">
        <f t="shared" si="54"/>
        <v>Rene Stellingwerf</v>
      </c>
      <c r="AI18" s="1011"/>
      <c r="AJ18" s="1015" t="str">
        <f t="shared" si="55"/>
        <v/>
      </c>
      <c r="AK18" s="545"/>
      <c r="AL18" s="1198" t="str">
        <f t="shared" si="56"/>
        <v/>
      </c>
      <c r="AM18" s="1198"/>
      <c r="AN18" s="1198"/>
      <c r="AO18" s="1198"/>
      <c r="AP18" s="508"/>
      <c r="AQ18" s="146" t="str">
        <f>IF(AR16="","",IF(AR16="w",3,IF(AR17="w",2,IF(AR18="w",1,IF(AR19="w",0,0)))))</f>
        <v/>
      </c>
      <c r="AR18" s="724"/>
      <c r="AS18" s="268"/>
      <c r="AT18" s="195" t="str">
        <f t="shared" si="57"/>
        <v/>
      </c>
      <c r="AU18" s="65" t="str">
        <f t="shared" si="57"/>
        <v/>
      </c>
      <c r="AV18" s="94" t="str">
        <f t="shared" si="58"/>
        <v>Gunter Bauer</v>
      </c>
      <c r="AW18" s="3" t="str">
        <f t="shared" si="59"/>
        <v/>
      </c>
      <c r="AX18" s="4" t="str">
        <f t="shared" si="59"/>
        <v/>
      </c>
      <c r="AY18" s="4" t="str">
        <f t="shared" si="59"/>
        <v/>
      </c>
      <c r="AZ18" s="4" t="str">
        <f t="shared" si="59"/>
        <v/>
      </c>
      <c r="BA18" s="26" t="str">
        <f t="shared" si="59"/>
        <v/>
      </c>
      <c r="BB18" s="189">
        <f t="shared" si="59"/>
        <v>0</v>
      </c>
      <c r="BD18" s="192" t="str">
        <f t="shared" si="60"/>
        <v/>
      </c>
      <c r="BE18" s="131" t="str">
        <f t="shared" si="103"/>
        <v/>
      </c>
      <c r="BF18" s="95" t="str">
        <f t="shared" si="103"/>
        <v/>
      </c>
      <c r="BG18"/>
      <c r="BH18" s="390">
        <f t="shared" si="104"/>
        <v>4</v>
      </c>
      <c r="BI18" s="974">
        <v>12</v>
      </c>
      <c r="BK18" s="451">
        <v>10</v>
      </c>
      <c r="BN18" s="8" t="str">
        <f>$M18</f>
        <v/>
      </c>
      <c r="BS18" s="8" t="str">
        <f>$AB18</f>
        <v/>
      </c>
      <c r="BX18" s="8" t="str">
        <f>$AQ18</f>
        <v/>
      </c>
      <c r="BY18" s="8"/>
      <c r="BZ18" s="762">
        <v>7</v>
      </c>
      <c r="CA18" s="762" t="str">
        <f t="shared" si="61"/>
        <v/>
      </c>
      <c r="CB18" s="13">
        <v>3</v>
      </c>
      <c r="CC18" s="49">
        <f t="shared" si="4"/>
        <v>1</v>
      </c>
      <c r="CD18" s="50" t="str">
        <f>IF(CC18="","",IF(OR(CC19=CC18,CC17=CC18),"=",""))</f>
        <v>=</v>
      </c>
      <c r="CE18" s="31">
        <v>16</v>
      </c>
      <c r="CF18" s="121">
        <f t="shared" si="5"/>
        <v>17</v>
      </c>
      <c r="CG18" s="126"/>
      <c r="CH18" s="74" t="str">
        <f t="shared" si="27"/>
        <v>Simon Reitsma</v>
      </c>
      <c r="CI18" s="278">
        <f t="shared" si="6"/>
        <v>0</v>
      </c>
      <c r="CJ18" s="85" t="str">
        <f t="shared" si="7"/>
        <v/>
      </c>
      <c r="CK18" s="70" t="str">
        <f t="shared" si="7"/>
        <v/>
      </c>
      <c r="CL18" s="70" t="str">
        <f t="shared" si="7"/>
        <v/>
      </c>
      <c r="CM18" s="70" t="str">
        <f t="shared" si="7"/>
        <v/>
      </c>
      <c r="CN18" s="86" t="str">
        <f t="shared" si="7"/>
        <v/>
      </c>
      <c r="CO18" s="79">
        <f t="shared" si="28"/>
        <v>0</v>
      </c>
      <c r="CP18" s="52"/>
      <c r="CQ18" s="249"/>
      <c r="CR18" s="27">
        <f t="shared" si="8"/>
        <v>17</v>
      </c>
      <c r="CS18" s="258">
        <f>RANK(DP18,$DP$3:$DP$20)+COUNTIF(DP$3:DP18,DP18)-1</f>
        <v>5</v>
      </c>
      <c r="CT18" s="32">
        <f t="shared" si="44"/>
        <v>16</v>
      </c>
      <c r="CU18" s="423">
        <f>VLOOKUP(CW18,Draw!$B$3:$C$42,2,FALSE)</f>
        <v>5</v>
      </c>
      <c r="CV18" s="185">
        <f>VLOOKUP(CW18,Draw!$B$3:$C$42,2,FALSE)</f>
        <v>5</v>
      </c>
      <c r="CW18" s="33" t="str">
        <f t="shared" si="45"/>
        <v>Stefan Svensson</v>
      </c>
      <c r="CX18" s="4" t="str">
        <f t="shared" si="46"/>
        <v/>
      </c>
      <c r="CY18" s="4" t="str">
        <f t="shared" si="46"/>
        <v/>
      </c>
      <c r="CZ18" s="4" t="str">
        <f t="shared" si="46"/>
        <v/>
      </c>
      <c r="DA18" s="4" t="str">
        <f t="shared" si="46"/>
        <v/>
      </c>
      <c r="DB18" s="34" t="str">
        <f t="shared" si="46"/>
        <v/>
      </c>
      <c r="DC18" s="250">
        <f t="shared" si="12"/>
        <v>0</v>
      </c>
      <c r="DD18" s="243">
        <f t="shared" si="13"/>
        <v>0</v>
      </c>
      <c r="DE18" s="236">
        <f t="shared" si="29"/>
        <v>0</v>
      </c>
      <c r="DF18" s="232">
        <f t="shared" si="14"/>
        <v>0</v>
      </c>
      <c r="DG18" s="234">
        <f t="shared" si="30"/>
        <v>0</v>
      </c>
      <c r="DH18" s="232">
        <f t="shared" si="15"/>
        <v>0</v>
      </c>
      <c r="DI18" s="41">
        <f t="shared" si="31"/>
        <v>0</v>
      </c>
      <c r="DJ18" s="271">
        <f t="shared" si="16"/>
        <v>0</v>
      </c>
      <c r="DK18" s="602">
        <f t="shared" si="32"/>
        <v>0</v>
      </c>
      <c r="DL18" s="281">
        <f t="shared" si="17"/>
        <v>0</v>
      </c>
      <c r="DM18" s="643">
        <f t="shared" si="43"/>
        <v>5.5000000000000003E-7</v>
      </c>
      <c r="DN18" s="284">
        <f t="shared" si="18"/>
        <v>0</v>
      </c>
      <c r="DO18" s="284">
        <f t="shared" si="19"/>
        <v>0</v>
      </c>
      <c r="DP18" s="647">
        <f t="shared" si="33"/>
        <v>5.5000000000000003E-7</v>
      </c>
      <c r="DQ18" s="596"/>
      <c r="DR18" s="206">
        <f>IF($DN$18=$DN$3,$CV$18,"")</f>
        <v>5</v>
      </c>
      <c r="DS18" s="38">
        <f>IF($DN$18=$DN$4,$CV$18,"")</f>
        <v>5</v>
      </c>
      <c r="DT18" s="38">
        <f>IF($DN$18=$DN$5,$CV$18,"")</f>
        <v>5</v>
      </c>
      <c r="DU18" s="38">
        <f>IF($DN$18=$DN$6,$CV$18,"")</f>
        <v>5</v>
      </c>
      <c r="DV18" s="38">
        <f>IF($DN$18=$DN$7,$CV$18,"")</f>
        <v>5</v>
      </c>
      <c r="DW18" s="38">
        <f>IF($DN$18=$DN$8,$CV$18,"")</f>
        <v>5</v>
      </c>
      <c r="DX18" s="38">
        <f>IF($DN$18=$DN$9,$CV$18,"")</f>
        <v>5</v>
      </c>
      <c r="DY18" s="38">
        <f>IF($DN$18=$DN$10,$CV$18,"")</f>
        <v>5</v>
      </c>
      <c r="DZ18" s="38">
        <f>IF($DN$18=$DN$11,$CV$18,"")</f>
        <v>5</v>
      </c>
      <c r="EA18" s="38">
        <f>IF($DN$18=$DN$12,$CV$18,"")</f>
        <v>5</v>
      </c>
      <c r="EB18" s="38">
        <f>IF($DN$18=$DN$13,$CV$18,"")</f>
        <v>5</v>
      </c>
      <c r="EC18" s="38">
        <f>IF($DN$18=$DN$14,$CV$18,"")</f>
        <v>5</v>
      </c>
      <c r="ED18" s="38">
        <f>IF($DN$18=$DN$15,$CV$18,"")</f>
        <v>5</v>
      </c>
      <c r="EE18" s="38">
        <f>IF($DN$18=$DN$16,$CV$18,"")</f>
        <v>5</v>
      </c>
      <c r="EF18" s="38">
        <f>IF($DN$18=$DN$17,$CV$18,"")</f>
        <v>5</v>
      </c>
      <c r="EG18" s="226"/>
      <c r="EH18" s="216">
        <f>$AG$9</f>
        <v>5</v>
      </c>
      <c r="EI18" s="206" t="b">
        <f>IF($DR$18="","",$FT$18)</f>
        <v>0</v>
      </c>
      <c r="EJ18" s="38" t="b">
        <f>IF($DS$18="","",$FU$18)</f>
        <v>0</v>
      </c>
      <c r="EK18" s="38" t="b">
        <f>IF($DT$18="","",$FV$18)</f>
        <v>0</v>
      </c>
      <c r="EL18" s="38" t="b">
        <f>IF($DU$18="","",$FW$18)</f>
        <v>0</v>
      </c>
      <c r="EM18" s="38" t="b">
        <f>IF($DV$18="","",$FX$18)</f>
        <v>0</v>
      </c>
      <c r="EN18" s="38" t="b">
        <f>IF($DW$18="","",$FY$18)</f>
        <v>0</v>
      </c>
      <c r="EO18" s="38" t="b">
        <f>IF($DX$18="","",$FZ$18)</f>
        <v>0</v>
      </c>
      <c r="EP18" s="38" t="b">
        <f>IF($DY$18="","",$GA$18)</f>
        <v>0</v>
      </c>
      <c r="EQ18" s="38" t="b">
        <f>IF($DZ$18="","",$GB$18)</f>
        <v>0</v>
      </c>
      <c r="ER18" s="38" t="b">
        <f>IF($EA$18="","",$GC$18)</f>
        <v>0</v>
      </c>
      <c r="ES18" s="38" t="b">
        <f>IF($EB$18="","",$GD$18)</f>
        <v>0</v>
      </c>
      <c r="ET18" s="38" t="b">
        <f>IF($EC$18="","",$GE$18)</f>
        <v>0</v>
      </c>
      <c r="EU18" s="38" t="b">
        <f>IF($ED$18="","",$GF$18)</f>
        <v>0</v>
      </c>
      <c r="EV18" s="38" t="b">
        <f>IF($EE$18="","",$GG$18)</f>
        <v>0</v>
      </c>
      <c r="EW18" s="38" t="b">
        <f>IF($EF$18="","",$GH$18)</f>
        <v>0</v>
      </c>
      <c r="EX18" s="226"/>
      <c r="EY18" s="231">
        <f>COUNTIF($EI$18:$EX$18,$EH$18)</f>
        <v>0</v>
      </c>
      <c r="FA18" s="130">
        <f t="shared" si="20"/>
        <v>5</v>
      </c>
      <c r="FB18" s="13" t="str">
        <f t="shared" si="20"/>
        <v>Stefan Svensson</v>
      </c>
      <c r="FC18" s="129">
        <f t="shared" si="34"/>
        <v>0</v>
      </c>
      <c r="FD18" s="129">
        <f t="shared" si="21"/>
        <v>0</v>
      </c>
      <c r="FE18" s="504">
        <v>0</v>
      </c>
      <c r="FF18" s="129">
        <f t="shared" si="35"/>
        <v>0</v>
      </c>
      <c r="FG18" s="483">
        <f t="shared" si="22"/>
        <v>5.5000000000000003E-7</v>
      </c>
      <c r="FH18" s="483">
        <f t="shared" si="36"/>
        <v>5.5000000000000003E-7</v>
      </c>
      <c r="FI18" s="176">
        <f t="shared" si="37"/>
        <v>5.5000000000000003E-7</v>
      </c>
      <c r="FJ18" s="484">
        <f t="shared" si="23"/>
        <v>5.5000000000000003E-7</v>
      </c>
      <c r="FK18" s="762">
        <f t="shared" si="24"/>
        <v>5</v>
      </c>
      <c r="FL18" s="762">
        <v>16</v>
      </c>
      <c r="FM18" s="762">
        <f t="shared" si="38"/>
        <v>0</v>
      </c>
      <c r="FN18" s="512"/>
      <c r="FO18" s="13" t="str">
        <f t="shared" si="39"/>
        <v>Simon Reitsma</v>
      </c>
      <c r="FP18" s="496">
        <f t="shared" si="42"/>
        <v>0</v>
      </c>
      <c r="FQ18" s="13">
        <f t="shared" si="25"/>
        <v>0</v>
      </c>
      <c r="FS18" s="216">
        <f>$AG$9</f>
        <v>5</v>
      </c>
      <c r="FT18" s="206" t="b">
        <f>IF($AB$15&gt;$AB$12,$FS$3,IF($AB$15&lt;$AB$12,$FS$18))</f>
        <v>0</v>
      </c>
      <c r="FU18" s="38" t="b">
        <f>IF($M$33&gt;$M$35,$FS$4,IF($M$33&lt;$M$35,$FS$18))</f>
        <v>0</v>
      </c>
      <c r="FV18" s="38" t="b">
        <f>IF($AB$14&gt;$AB$12,$FS$5,IF($AB$14&lt;$AB$12,$FS$18))</f>
        <v>0</v>
      </c>
      <c r="FW18" s="38" t="b">
        <f>IF($M$16&gt;$M$18,$FS$6,IF($M$16&lt;$M$18,$FS$18))</f>
        <v>0</v>
      </c>
      <c r="FX18" s="38" t="b">
        <f>IF($AB$43&gt;$AB$41,$FS$7,IF($AB$43&lt;$AB$41,$FS$18))</f>
        <v>0</v>
      </c>
      <c r="FY18" s="38" t="b">
        <f>IF($M$34&gt;$M$35,$FS$8,IF($M$34&lt;$M$35,$FS$18))</f>
        <v>0</v>
      </c>
      <c r="FZ18" s="213" t="b">
        <f>IF($M$32&gt;$M$35,$FS$9,IF($M$32&lt;$M$35,$FS$18))</f>
        <v>0</v>
      </c>
      <c r="GA18" s="38" t="b">
        <f>IF($AQ$20&gt;$AQ$23,$FS$10,IF($AQ$20&lt;$AQ$23,$FS$18))</f>
        <v>0</v>
      </c>
      <c r="GB18" s="38" t="b">
        <f>IF($AQ$22&gt;$AQ$23,$FS$11,IF($AQ$22&lt;$AQ$23,$FS$18))</f>
        <v>0</v>
      </c>
      <c r="GC18" s="213" t="b">
        <f>IF($AB$42&gt;$AB$41,$FS$12,IF($AB$42&lt;$AB$41,$FS$18))</f>
        <v>0</v>
      </c>
      <c r="GD18" s="38" t="b">
        <f>IF($AB$13&gt;$AB$12,$FS$13,IF($AB$13&lt;$AB$12,$FS$18))</f>
        <v>0</v>
      </c>
      <c r="GE18" s="38" t="b">
        <f>IF($M$17&gt;$M$18,$FS$14,IF($M$17&lt;$M$18,$FS$18))</f>
        <v>0</v>
      </c>
      <c r="GF18" s="38" t="b">
        <f>IF($AQ$21&gt;$AQ$23,$FS$15,IF($AQ$21&lt;$AQ$23,$FS$18))</f>
        <v>0</v>
      </c>
      <c r="GG18" s="38" t="b">
        <f>IF($AB$40&gt;$AB$41,$FS$16,IF($AB$40&lt;$AB$41,$FS$18))</f>
        <v>0</v>
      </c>
      <c r="GH18" s="38" t="b">
        <f>IF($M$19&gt;$M$18,$FS$17,IF($M$19&lt;$M$18,$FS$18))</f>
        <v>0</v>
      </c>
      <c r="GI18" s="212"/>
      <c r="GK18" s="8">
        <v>16</v>
      </c>
      <c r="GL18" s="206"/>
      <c r="GM18" s="38"/>
      <c r="GN18" s="38"/>
      <c r="GO18" s="38"/>
      <c r="GP18" s="295"/>
      <c r="GQ18" s="231">
        <f t="shared" si="41"/>
        <v>0</v>
      </c>
      <c r="GR18" s="601">
        <f t="shared" si="40"/>
        <v>0</v>
      </c>
      <c r="GW18" s="1144"/>
      <c r="GX18" s="230" t="str">
        <f>IF($N$16="","",IF($IW$18=$GX$3,$IX$18,IF(AND($H$18=$GX$3,$L$18&lt;&gt;""),$L$18,IF(AND($H$18=$GX$3,$L$18=""),$M$18,""))))</f>
        <v/>
      </c>
      <c r="GY18" s="301">
        <v>74</v>
      </c>
      <c r="GZ18" s="5" t="str">
        <f t="shared" si="105"/>
        <v/>
      </c>
      <c r="HA18" s="95" t="str">
        <f t="shared" si="62"/>
        <v/>
      </c>
      <c r="HB18" s="5"/>
      <c r="HC18" s="95" t="str">
        <f t="shared" si="106"/>
        <v/>
      </c>
      <c r="HG18" s="1144"/>
      <c r="HH18" s="230" t="str">
        <f>IF($N$16="","",IF($IW$18=$HH$3,$IX$18,IF(AND($H$18=$HH$3,$L$18&lt;&gt;""),$L$18,IF(AND($H$18=$HH$3,$L$18=""),$M$18,""))))</f>
        <v/>
      </c>
      <c r="HI18" s="301">
        <v>74</v>
      </c>
      <c r="HJ18" s="5" t="str">
        <f t="shared" si="107"/>
        <v/>
      </c>
      <c r="HK18" s="95" t="str">
        <f t="shared" si="63"/>
        <v/>
      </c>
      <c r="HL18" s="5"/>
      <c r="HM18" s="95" t="str">
        <f t="shared" si="64"/>
        <v/>
      </c>
      <c r="HN18" s="1149"/>
      <c r="HO18" s="131" t="str">
        <f>IF($H17="",$D17,$H17)</f>
        <v>Vitaly Khomitsevich</v>
      </c>
      <c r="HP18" s="884" t="str">
        <f>M17</f>
        <v/>
      </c>
      <c r="HQ18" s="327" t="str">
        <f>IF($L17="","",$L17)</f>
        <v/>
      </c>
      <c r="HR18" s="327">
        <v>0.03</v>
      </c>
      <c r="HS18" s="458" t="str">
        <f t="shared" si="65"/>
        <v/>
      </c>
      <c r="HT18" s="327" t="e">
        <f>RANK(HS18,HS17:HS20)+COUNTIF(HS17:HS18,HS18)-1</f>
        <v>#VALUE!</v>
      </c>
      <c r="HU18" s="327" t="str">
        <f>IF(HQ18="",HO18,HO18&amp;" ("&amp;HQ18&amp;")")</f>
        <v>Vitaly Khomitsevich</v>
      </c>
      <c r="HV18" s="328">
        <v>2</v>
      </c>
      <c r="HW18" s="337" t="str">
        <f>IF(N16="","",VLOOKUP(HV18,HT17:HU20,2,FALSE))</f>
        <v/>
      </c>
      <c r="HX18" s="1149"/>
      <c r="HY18" s="131" t="str">
        <f>IF($W17="",$S17,$W17)</f>
        <v>Jan Klatovsky</v>
      </c>
      <c r="HZ18" s="327" t="str">
        <f>AB17</f>
        <v/>
      </c>
      <c r="IA18" s="327" t="str">
        <f>IF($AA17="","",$AA17)</f>
        <v/>
      </c>
      <c r="IB18" s="327">
        <v>0.03</v>
      </c>
      <c r="IC18" s="458" t="str">
        <f t="shared" si="66"/>
        <v/>
      </c>
      <c r="ID18" s="327" t="e">
        <f>RANK(IC18,IC17:IC20)+COUNTIF(IC17:IC18,IC18)-1</f>
        <v>#VALUE!</v>
      </c>
      <c r="IE18" s="327" t="str">
        <f>IF(IA18="",HY18,HY18&amp;" ("&amp;IA18&amp;")")</f>
        <v>Jan Klatovsky</v>
      </c>
      <c r="IF18" s="344">
        <v>2</v>
      </c>
      <c r="IG18" s="337" t="str">
        <f>IF(AC16="","",VLOOKUP(IF18,ID17:IE20,2,FALSE))</f>
        <v/>
      </c>
      <c r="IH18" s="1149"/>
      <c r="II18" s="131" t="str">
        <f>IF($AL17="",$AH17,$AL17)</f>
        <v>Stefan Pletschacher</v>
      </c>
      <c r="IJ18" s="327" t="str">
        <f>AQ17</f>
        <v/>
      </c>
      <c r="IK18" s="327" t="str">
        <f>IF($AP17="","",$AP17)</f>
        <v/>
      </c>
      <c r="IL18" s="327">
        <v>0.03</v>
      </c>
      <c r="IM18" s="327" t="str">
        <f t="shared" si="67"/>
        <v/>
      </c>
      <c r="IN18" s="327" t="e">
        <f>RANK(IM18,IM17:IM20)+COUNTIF(IM17:IM18,IM18)-1</f>
        <v>#VALUE!</v>
      </c>
      <c r="IO18" s="327" t="str">
        <f>IF(IK18="",II18,II18&amp;" ("&amp;IK18&amp;")")</f>
        <v>Stefan Pletschacher</v>
      </c>
      <c r="IP18" s="344">
        <v>2</v>
      </c>
      <c r="IQ18" s="337" t="str">
        <f>IF(AR16="","",VLOOKUP(IP18,IN17:IO20,2,FALSE))</f>
        <v/>
      </c>
      <c r="IU18" s="1112"/>
      <c r="IV18" s="701"/>
      <c r="IW18" s="699" t="str">
        <f t="shared" si="68"/>
        <v/>
      </c>
      <c r="IX18" s="700"/>
      <c r="IZ18" s="1112"/>
      <c r="JA18" s="701"/>
      <c r="JB18" s="699" t="str">
        <f t="shared" si="69"/>
        <v/>
      </c>
      <c r="JC18" s="700"/>
      <c r="JE18" s="1112"/>
      <c r="JF18" s="701"/>
      <c r="JG18" s="699" t="str">
        <f t="shared" si="70"/>
        <v/>
      </c>
      <c r="JH18" s="700"/>
      <c r="JI18" s="687"/>
      <c r="JJ18" s="1335"/>
      <c r="JK18" s="876">
        <v>74</v>
      </c>
      <c r="JL18" s="879" t="str">
        <f t="shared" si="108"/>
        <v/>
      </c>
      <c r="JM18" s="655" t="str">
        <f t="shared" si="71"/>
        <v/>
      </c>
      <c r="JN18" s="869" t="str">
        <f>IF($N$16="","",IF(AND($D$18=JL$11,$F$18&lt;&gt;""),$F$18,IF(AND($D$18=JL$11,$L$18&lt;&gt;""),$L$18,IF($D$18=JL$11,$M$18,""))))</f>
        <v/>
      </c>
      <c r="JO18" s="879" t="str">
        <f t="shared" si="109"/>
        <v/>
      </c>
      <c r="JP18" s="655" t="str">
        <f t="shared" si="72"/>
        <v/>
      </c>
      <c r="JQ18" s="869" t="str">
        <f>IF($N$16="","",IF(AND($D$18=JO$11,$F$18&lt;&gt;""),$F$18,IF(AND($D$18=JO$11,$L$18&lt;&gt;""),$L$18,IF($D$18=JO$11,$M$18,""))))</f>
        <v/>
      </c>
      <c r="JR18" s="879" t="str">
        <f t="shared" si="73"/>
        <v/>
      </c>
      <c r="JS18" s="655" t="str">
        <f t="shared" si="74"/>
        <v/>
      </c>
      <c r="JT18" s="869" t="str">
        <f>IF($N$16="","",IF(AND($D$18=JR$11,$F$18&lt;&gt;""),$F$18,IF(AND($D$18=JR$11,$L$18&lt;&gt;""),$L$18,IF($D$18=JR$11,$M$18,""))))</f>
        <v/>
      </c>
      <c r="JU18" s="879" t="str">
        <f t="shared" si="75"/>
        <v/>
      </c>
      <c r="JV18" s="655" t="str">
        <f t="shared" si="76"/>
        <v/>
      </c>
      <c r="JW18" s="869" t="str">
        <f>IF($N$16="","",IF(AND($D$18=JU$11,$F$18&lt;&gt;""),$F$18,IF(AND($D$18=JU$11,$L$18&lt;&gt;""),$L$18,IF($D$18=JU$11,$M$18,""))))</f>
        <v/>
      </c>
      <c r="JX18" s="879" t="str">
        <f t="shared" si="77"/>
        <v/>
      </c>
      <c r="JY18" s="655" t="str">
        <f t="shared" si="78"/>
        <v/>
      </c>
      <c r="JZ18" s="869" t="str">
        <f>IF($N$16="","",IF(AND($D$18=JX$11,$F$18&lt;&gt;""),$F$18,IF(AND($D$18=JX$11,$L$18&lt;&gt;""),$L$18,IF($D$18=JX$11,$M$18,""))))</f>
        <v/>
      </c>
      <c r="KA18" s="879" t="str">
        <f t="shared" si="79"/>
        <v/>
      </c>
      <c r="KB18" s="655" t="str">
        <f t="shared" si="80"/>
        <v/>
      </c>
      <c r="KC18" s="869" t="str">
        <f>IF($N$16="","",IF(AND($D$18=KA$11,$F$18&lt;&gt;""),$F$18,IF(AND($D$18=KA$11,$L$18&lt;&gt;""),$L$18,IF($D$18=KA$11,$M$18,""))))</f>
        <v/>
      </c>
      <c r="KD18" s="879" t="str">
        <f t="shared" si="81"/>
        <v/>
      </c>
      <c r="KE18" s="655" t="str">
        <f t="shared" si="82"/>
        <v/>
      </c>
      <c r="KF18" s="869" t="str">
        <f>IF($N$16="","",IF(AND($D$18=KD$11,$F$18&lt;&gt;""),$F$18,IF(AND($D$18=KD$11,$L$18&lt;&gt;""),$L$18,IF($D$18=KD$11,$M$18,""))))</f>
        <v/>
      </c>
      <c r="KG18" s="879" t="str">
        <f t="shared" si="83"/>
        <v/>
      </c>
      <c r="KH18" s="655" t="str">
        <f t="shared" si="84"/>
        <v/>
      </c>
      <c r="KI18" s="869" t="str">
        <f>IF($N$16="","",IF(AND($D$18=KG$11,$F$18&lt;&gt;""),$F$18,IF(AND($D$18=KG$11,$L$18&lt;&gt;""),$L$18,IF($D$18=KG$11,$M$18,""))))</f>
        <v/>
      </c>
      <c r="KJ18" s="879" t="str">
        <f t="shared" si="85"/>
        <v/>
      </c>
      <c r="KK18" s="655" t="str">
        <f t="shared" si="86"/>
        <v/>
      </c>
      <c r="KL18" s="869" t="str">
        <f>IF($N$16="","",IF(AND($D$18=KJ$11,$F$18&lt;&gt;""),$F$18,IF(AND($D$18=KJ$11,$L$18&lt;&gt;""),$L$18,IF($D$18=KJ$11,$M$18,""))))</f>
        <v/>
      </c>
      <c r="KM18" s="879" t="str">
        <f t="shared" si="87"/>
        <v/>
      </c>
      <c r="KN18" s="655" t="str">
        <f t="shared" si="88"/>
        <v/>
      </c>
      <c r="KO18" s="869" t="str">
        <f>IF($N$16="","",IF(AND($D$18=KM$11,$F$18&lt;&gt;""),$F$18,IF(AND($D$18=KM$11,$L$18&lt;&gt;""),$L$18,IF($D$18=KM$11,$M$18,""))))</f>
        <v/>
      </c>
      <c r="KP18" s="879" t="str">
        <f t="shared" si="89"/>
        <v/>
      </c>
      <c r="KQ18" s="655" t="str">
        <f t="shared" si="90"/>
        <v/>
      </c>
      <c r="KR18" s="869" t="str">
        <f>IF($N$16="","",IF(AND($D$18=KP$11,$F$18&lt;&gt;""),$F$18,IF(AND($D$18=KP$11,$L$18&lt;&gt;""),$L$18,IF($D$18=KP$11,$M$18,""))))</f>
        <v/>
      </c>
      <c r="KS18" s="879" t="str">
        <f t="shared" si="91"/>
        <v/>
      </c>
      <c r="KT18" s="655" t="str">
        <f t="shared" si="92"/>
        <v/>
      </c>
      <c r="KU18" s="869" t="str">
        <f>IF($N$16="","",IF(AND($D$18=KS$11,$F$18&lt;&gt;""),$F$18,IF(AND($D$18=KS$11,$L$18&lt;&gt;""),$L$18,IF($D$18=KS$11,$M$18,""))))</f>
        <v/>
      </c>
      <c r="KV18" s="879" t="str">
        <f t="shared" si="93"/>
        <v/>
      </c>
      <c r="KW18" s="655" t="str">
        <f t="shared" si="94"/>
        <v/>
      </c>
      <c r="KX18" s="869" t="str">
        <f>IF($N$16="","",IF(AND($D$18=KV$11,$F$18&lt;&gt;""),$F$18,IF(AND($D$18=KV$11,$L$18&lt;&gt;""),$L$18,IF($D$18=KV$11,$M$18,""))))</f>
        <v/>
      </c>
      <c r="KY18" s="879" t="str">
        <f t="shared" si="95"/>
        <v/>
      </c>
      <c r="KZ18" s="655" t="str">
        <f t="shared" si="96"/>
        <v/>
      </c>
      <c r="LA18" s="869" t="str">
        <f>IF($N$16="","",IF(AND($D$18=KY$11,$F$18&lt;&gt;""),$F$18,IF(AND($D$18=KY$11,$L$18&lt;&gt;""),$L$18,IF($D$18=KY$11,$M$18,""))))</f>
        <v/>
      </c>
      <c r="LB18" s="879" t="str">
        <f t="shared" si="97"/>
        <v/>
      </c>
      <c r="LC18" s="655" t="str">
        <f t="shared" si="98"/>
        <v/>
      </c>
      <c r="LD18" s="869" t="str">
        <f>IF($N$16="","",IF(AND($D$18=LB$11,$F$18&lt;&gt;""),$F$18,IF(AND($D$18=LB$11,$L$18&lt;&gt;""),$L$18,IF($D$18=LB$11,$M$18,""))))</f>
        <v/>
      </c>
      <c r="LE18" s="879" t="str">
        <f t="shared" si="99"/>
        <v/>
      </c>
      <c r="LF18" s="655" t="str">
        <f t="shared" si="100"/>
        <v/>
      </c>
      <c r="LG18" s="869" t="str">
        <f>IF($N$16="","",IF(AND($D$18=LE$11,$F$18&lt;&gt;""),$F$18,IF(AND($D$18=LE$11,$L$18&lt;&gt;""),$L$18,IF($D$18=LE$11,$M$18,""))))</f>
        <v/>
      </c>
      <c r="LH18"/>
      <c r="LI18"/>
      <c r="LJ18"/>
      <c r="LK18"/>
      <c r="LL18"/>
      <c r="LM18"/>
    </row>
    <row r="19" spans="1:325" ht="12.75" customHeight="1" thickBot="1">
      <c r="A19" s="918"/>
      <c r="B19" s="330">
        <v>15</v>
      </c>
      <c r="C19" s="107">
        <f t="shared" si="101"/>
        <v>2</v>
      </c>
      <c r="D19" s="518" t="str">
        <f t="shared" si="102"/>
        <v>Dimitry Koltakov</v>
      </c>
      <c r="E19" s="1012"/>
      <c r="F19" s="1016" t="str">
        <f t="shared" si="47"/>
        <v/>
      </c>
      <c r="G19" s="546"/>
      <c r="H19" s="1197" t="str">
        <f t="shared" si="48"/>
        <v/>
      </c>
      <c r="I19" s="1197"/>
      <c r="J19" s="1197"/>
      <c r="K19" s="1197"/>
      <c r="L19" s="509"/>
      <c r="M19" s="149" t="str">
        <f>IF(N16="","",IF(N16="y",3,IF(N17="y",2,IF(N18="y",1,IF(N19="y",0,0)))))</f>
        <v/>
      </c>
      <c r="N19" s="708"/>
      <c r="O19" s="268"/>
      <c r="P19" s="918"/>
      <c r="Q19" s="330">
        <v>6</v>
      </c>
      <c r="R19" s="107">
        <f t="shared" si="49"/>
        <v>16</v>
      </c>
      <c r="S19" s="518" t="str">
        <f t="shared" si="50"/>
        <v>Rene Stellingwerf</v>
      </c>
      <c r="T19" s="1012"/>
      <c r="U19" s="1016" t="str">
        <f t="shared" si="51"/>
        <v/>
      </c>
      <c r="V19" s="546"/>
      <c r="W19" s="1197" t="str">
        <f t="shared" si="52"/>
        <v/>
      </c>
      <c r="X19" s="1197"/>
      <c r="Y19" s="1197"/>
      <c r="Z19" s="1197"/>
      <c r="AA19" s="509"/>
      <c r="AB19" s="149" t="str">
        <f>IF(AC16="","",IF(AC16="y",3,IF(AC17="y",2,IF(AC18="y",1,IF(AC19="y",0,0)))))</f>
        <v/>
      </c>
      <c r="AC19" s="725"/>
      <c r="AD19" s="269"/>
      <c r="AE19" s="918"/>
      <c r="AF19" s="330">
        <v>11</v>
      </c>
      <c r="AG19" s="107">
        <f t="shared" si="53"/>
        <v>15</v>
      </c>
      <c r="AH19" s="518" t="str">
        <f t="shared" si="54"/>
        <v>Harald Simon</v>
      </c>
      <c r="AI19" s="1012"/>
      <c r="AJ19" s="1016" t="str">
        <f t="shared" si="55"/>
        <v/>
      </c>
      <c r="AK19" s="546"/>
      <c r="AL19" s="1197" t="str">
        <f t="shared" si="56"/>
        <v/>
      </c>
      <c r="AM19" s="1197"/>
      <c r="AN19" s="1197"/>
      <c r="AO19" s="1197"/>
      <c r="AP19" s="509"/>
      <c r="AQ19" s="149" t="str">
        <f>IF(AR16="","",IF(AR16="y",3,IF(AR17="y",2,IF(AR18="y",1,IF(AR19="y",0,0)))))</f>
        <v/>
      </c>
      <c r="AR19" s="725"/>
      <c r="AS19" s="268"/>
      <c r="AT19" s="196" t="str">
        <f t="shared" si="57"/>
        <v/>
      </c>
      <c r="AU19" s="66" t="str">
        <f t="shared" si="57"/>
        <v/>
      </c>
      <c r="AV19" s="96" t="str">
        <f t="shared" si="58"/>
        <v>Stefan Pletschacher</v>
      </c>
      <c r="AW19" s="15" t="str">
        <f t="shared" si="59"/>
        <v/>
      </c>
      <c r="AX19" s="38" t="str">
        <f t="shared" si="59"/>
        <v/>
      </c>
      <c r="AY19" s="38" t="str">
        <f t="shared" si="59"/>
        <v/>
      </c>
      <c r="AZ19" s="38" t="str">
        <f t="shared" si="59"/>
        <v/>
      </c>
      <c r="BA19" s="97" t="str">
        <f t="shared" si="59"/>
        <v/>
      </c>
      <c r="BB19" s="190">
        <f t="shared" si="59"/>
        <v>0</v>
      </c>
      <c r="BD19" s="192" t="str">
        <f t="shared" si="60"/>
        <v/>
      </c>
      <c r="BE19" s="131" t="str">
        <f t="shared" si="103"/>
        <v/>
      </c>
      <c r="BF19" s="95" t="str">
        <f t="shared" si="103"/>
        <v/>
      </c>
      <c r="BG19"/>
      <c r="BH19" s="390">
        <f t="shared" si="104"/>
        <v>4</v>
      </c>
      <c r="BI19" s="974">
        <v>11</v>
      </c>
      <c r="BK19" s="452">
        <v>9</v>
      </c>
      <c r="BO19" s="8" t="str">
        <f>$M19</f>
        <v/>
      </c>
      <c r="BT19" s="8" t="str">
        <f>$AB19</f>
        <v/>
      </c>
      <c r="BY19" s="8" t="str">
        <f>$AQ19</f>
        <v/>
      </c>
      <c r="BZ19" s="762">
        <v>8</v>
      </c>
      <c r="CA19" s="762" t="str">
        <f t="shared" si="61"/>
        <v/>
      </c>
      <c r="CB19" s="13">
        <v>4</v>
      </c>
      <c r="CC19" s="49">
        <f t="shared" si="4"/>
        <v>1</v>
      </c>
      <c r="CD19" s="50" t="str">
        <f>IF(CC19="","",IF(OR(CC20=CC19,CC18=CC19),"=",""))</f>
        <v>=</v>
      </c>
      <c r="CE19" s="31">
        <v>17</v>
      </c>
      <c r="CF19" s="121">
        <f t="shared" si="5"/>
        <v>18</v>
      </c>
      <c r="CG19" s="126"/>
      <c r="CH19" s="74" t="str">
        <f t="shared" si="27"/>
        <v>Max Niedermaier</v>
      </c>
      <c r="CI19" s="278">
        <f t="shared" si="6"/>
        <v>0</v>
      </c>
      <c r="CJ19" s="85" t="str">
        <f t="shared" si="7"/>
        <v/>
      </c>
      <c r="CK19" s="70" t="str">
        <f t="shared" si="7"/>
        <v/>
      </c>
      <c r="CL19" s="70" t="str">
        <f t="shared" si="7"/>
        <v/>
      </c>
      <c r="CM19" s="70" t="str">
        <f t="shared" si="7"/>
        <v/>
      </c>
      <c r="CN19" s="86" t="str">
        <f t="shared" si="7"/>
        <v/>
      </c>
      <c r="CO19" s="79">
        <f t="shared" si="28"/>
        <v>0</v>
      </c>
      <c r="CP19" s="52"/>
      <c r="CQ19" s="249"/>
      <c r="CR19" s="27">
        <f t="shared" si="8"/>
        <v>18</v>
      </c>
      <c r="CS19" s="258">
        <f>RANK(DP19,$DP$3:$DP$20)+COUNTIF(DP$3:DP19,DP19)-1</f>
        <v>16</v>
      </c>
      <c r="CT19" s="32">
        <f>Q10</f>
        <v>17</v>
      </c>
      <c r="CU19" s="423">
        <f>VLOOKUP(CW19,Draw!$B$3:$C$42,2,FALSE)</f>
        <v>17</v>
      </c>
      <c r="CV19" s="185">
        <f>VLOOKUP(CW19,Draw!$B$3:$C$42,2,FALSE)</f>
        <v>17</v>
      </c>
      <c r="CW19" s="33" t="str">
        <f>S10</f>
        <v>Simon Reitsma</v>
      </c>
      <c r="CX19" s="4" t="str">
        <f>W10</f>
        <v/>
      </c>
      <c r="CY19" s="4" t="str">
        <f>X10</f>
        <v/>
      </c>
      <c r="CZ19" s="4" t="str">
        <f>Y10</f>
        <v/>
      </c>
      <c r="DA19" s="4" t="str">
        <f>Z10</f>
        <v/>
      </c>
      <c r="DB19" s="34" t="str">
        <f>AA10</f>
        <v/>
      </c>
      <c r="DC19" s="250">
        <f t="shared" si="12"/>
        <v>0</v>
      </c>
      <c r="DD19" s="243">
        <f t="shared" si="13"/>
        <v>0</v>
      </c>
      <c r="DE19" s="236">
        <f t="shared" si="29"/>
        <v>0</v>
      </c>
      <c r="DF19" s="232">
        <f t="shared" si="14"/>
        <v>0</v>
      </c>
      <c r="DG19" s="234">
        <f t="shared" si="30"/>
        <v>0</v>
      </c>
      <c r="DH19" s="232">
        <f t="shared" si="15"/>
        <v>0</v>
      </c>
      <c r="DI19" s="41">
        <f t="shared" si="31"/>
        <v>0</v>
      </c>
      <c r="DJ19" s="271">
        <f t="shared" si="16"/>
        <v>0</v>
      </c>
      <c r="DK19" s="602">
        <f t="shared" si="32"/>
        <v>0</v>
      </c>
      <c r="DL19" s="281">
        <f>IF(EZ19=0,0,EZ19/1000000)</f>
        <v>0</v>
      </c>
      <c r="DM19" s="644">
        <f t="shared" si="43"/>
        <v>4.3000000000000001E-7</v>
      </c>
      <c r="DN19" s="285">
        <f t="shared" si="18"/>
        <v>0</v>
      </c>
      <c r="DO19" s="285">
        <f t="shared" si="19"/>
        <v>0</v>
      </c>
      <c r="DP19" s="648">
        <f t="shared" si="33"/>
        <v>4.3000000000000001E-7</v>
      </c>
      <c r="DQ19" s="597"/>
      <c r="DR19" s="8"/>
      <c r="DS19" s="8"/>
      <c r="DT19" s="8"/>
      <c r="DU19" s="8"/>
      <c r="DV19" s="8"/>
      <c r="DW19" s="8"/>
      <c r="DX19" s="8"/>
      <c r="DY19" s="8"/>
      <c r="DZ19" s="8"/>
      <c r="EA19" s="8"/>
      <c r="EB19" s="8"/>
      <c r="EC19" s="8"/>
      <c r="ED19" s="8"/>
      <c r="EE19" s="8"/>
      <c r="EF19" s="8"/>
      <c r="EG19" s="8"/>
      <c r="EH19" s="8"/>
      <c r="EI19" s="8"/>
      <c r="EJ19" s="8"/>
      <c r="EK19" s="8"/>
      <c r="EL19" s="8"/>
      <c r="EM19" s="8"/>
      <c r="EN19" s="8"/>
      <c r="EO19" s="8"/>
      <c r="EP19" s="8"/>
      <c r="EQ19" s="8"/>
      <c r="ER19" s="8"/>
      <c r="ES19" s="8"/>
      <c r="ET19" s="8"/>
      <c r="EU19" s="8"/>
      <c r="EV19" s="8"/>
      <c r="EW19" s="8"/>
      <c r="EX19" s="8"/>
      <c r="EY19" s="8"/>
      <c r="EZ19" s="8"/>
      <c r="FA19" s="130">
        <f t="shared" si="20"/>
        <v>17</v>
      </c>
      <c r="FB19" s="8" t="str">
        <f t="shared" si="20"/>
        <v>Simon Reitsma</v>
      </c>
      <c r="FC19" s="129">
        <f t="shared" si="34"/>
        <v>0</v>
      </c>
      <c r="FD19" s="129">
        <f t="shared" si="21"/>
        <v>0</v>
      </c>
      <c r="FE19" s="504">
        <v>0</v>
      </c>
      <c r="FF19" s="129">
        <f t="shared" si="35"/>
        <v>0</v>
      </c>
      <c r="FG19" s="483">
        <f t="shared" si="22"/>
        <v>4.3000000000000001E-7</v>
      </c>
      <c r="FH19" s="483">
        <f t="shared" si="36"/>
        <v>4.3000000000000001E-7</v>
      </c>
      <c r="FI19" s="8">
        <f t="shared" si="37"/>
        <v>4.3000000000000001E-7</v>
      </c>
      <c r="FJ19" s="484">
        <f t="shared" si="23"/>
        <v>4.3000000000000001E-7</v>
      </c>
      <c r="FK19" s="762">
        <f t="shared" si="24"/>
        <v>16</v>
      </c>
      <c r="FL19" s="762">
        <v>17</v>
      </c>
      <c r="FM19" s="762">
        <f t="shared" si="38"/>
        <v>0</v>
      </c>
      <c r="FN19" s="512"/>
      <c r="FO19" s="8" t="str">
        <f t="shared" si="39"/>
        <v>Max Niedermaier</v>
      </c>
      <c r="FP19" s="496">
        <f t="shared" si="42"/>
        <v>0</v>
      </c>
      <c r="FQ19" s="13">
        <f t="shared" si="25"/>
        <v>0</v>
      </c>
      <c r="FR19" s="8"/>
      <c r="FS19" s="218">
        <v>11</v>
      </c>
      <c r="FT19" s="209" t="s">
        <v>34</v>
      </c>
      <c r="FU19" s="8"/>
      <c r="FV19" s="8"/>
      <c r="FW19" s="8"/>
      <c r="FX19" s="8"/>
      <c r="FY19" s="8"/>
      <c r="FZ19" s="8"/>
      <c r="GA19" s="8"/>
      <c r="GB19" s="8"/>
      <c r="GC19" s="8"/>
      <c r="GD19" s="8"/>
      <c r="GE19" s="8"/>
      <c r="GF19" s="8"/>
      <c r="GG19" s="8"/>
      <c r="GH19" s="8"/>
      <c r="GI19" s="8"/>
      <c r="GW19" s="1145"/>
      <c r="GX19" s="231" t="str">
        <f>IF($N$16="","",IF($IW$19=$GX$3,$IX$19,IF(AND($H$19=$GX$3,$L$19&lt;&gt;""),$L$19,IF(AND($H$19=$GX$3,$L$19=""),$M$19,""))))</f>
        <v/>
      </c>
      <c r="GY19" s="302">
        <v>73</v>
      </c>
      <c r="GZ19" s="303" t="str">
        <f t="shared" si="105"/>
        <v/>
      </c>
      <c r="HA19" s="98" t="str">
        <f t="shared" si="62"/>
        <v/>
      </c>
      <c r="HB19" s="303"/>
      <c r="HC19" s="98" t="str">
        <f t="shared" si="106"/>
        <v/>
      </c>
      <c r="HG19" s="1145"/>
      <c r="HH19" s="231" t="str">
        <f>IF($N$16="","",IF($IW$19=$HH$3,$IX$19,IF(AND($H$19=$HH$3,$L$19&lt;&gt;""),$L$19,IF(AND($H$19=$HH$3,$L$19=""),$M$19,""))))</f>
        <v/>
      </c>
      <c r="HI19" s="302">
        <v>73</v>
      </c>
      <c r="HJ19" s="303" t="str">
        <f t="shared" si="107"/>
        <v/>
      </c>
      <c r="HK19" s="98" t="str">
        <f t="shared" si="63"/>
        <v/>
      </c>
      <c r="HL19" s="303"/>
      <c r="HM19" s="98" t="str">
        <f t="shared" si="64"/>
        <v/>
      </c>
      <c r="HN19" s="1149"/>
      <c r="HO19" s="131" t="str">
        <f>IF($H18="",$D18,$H18)</f>
        <v>Stefan Svensson</v>
      </c>
      <c r="HP19" s="884" t="str">
        <f>M18</f>
        <v/>
      </c>
      <c r="HQ19" s="327" t="str">
        <f>IF($L18="","",$L18)</f>
        <v/>
      </c>
      <c r="HR19" s="327">
        <v>0.02</v>
      </c>
      <c r="HS19" s="458" t="str">
        <f t="shared" si="65"/>
        <v/>
      </c>
      <c r="HT19" s="327" t="e">
        <f>RANK(HS19,HS17:HS20)+COUNTIF(HS17:HS19,HS19)-1</f>
        <v>#VALUE!</v>
      </c>
      <c r="HU19" s="327" t="str">
        <f>IF(HQ19="",HO19,HO19&amp;" ("&amp;HQ19&amp;")")</f>
        <v>Stefan Svensson</v>
      </c>
      <c r="HV19" s="328">
        <v>3</v>
      </c>
      <c r="HW19" s="337" t="str">
        <f>IF(N16="","",VLOOKUP(HV19,HT17:HU20,2,FALSE))</f>
        <v/>
      </c>
      <c r="HX19" s="1149"/>
      <c r="HY19" s="131" t="str">
        <f>IF($W18="",$S18,$W18)</f>
        <v>Antonin Klatovsky</v>
      </c>
      <c r="HZ19" s="327" t="str">
        <f>AB18</f>
        <v/>
      </c>
      <c r="IA19" s="327" t="str">
        <f>IF($AA18="","",$AA18)</f>
        <v/>
      </c>
      <c r="IB19" s="327">
        <v>0.02</v>
      </c>
      <c r="IC19" s="458" t="str">
        <f t="shared" si="66"/>
        <v/>
      </c>
      <c r="ID19" s="327" t="e">
        <f>RANK(IC19,IC17:IC20)+COUNTIF(IC17:IC19,IC19)-1</f>
        <v>#VALUE!</v>
      </c>
      <c r="IE19" s="327" t="str">
        <f>IF(IA19="",HY19,HY19&amp;" ("&amp;IA19&amp;")")</f>
        <v>Antonin Klatovsky</v>
      </c>
      <c r="IF19" s="344">
        <v>3</v>
      </c>
      <c r="IG19" s="337" t="str">
        <f>IF(AC16="","",VLOOKUP(IF19,ID17:IE20,2,FALSE))</f>
        <v/>
      </c>
      <c r="IH19" s="1149"/>
      <c r="II19" s="131" t="str">
        <f>IF($AL18="",$AH18,$AL18)</f>
        <v>Rene Stellingwerf</v>
      </c>
      <c r="IJ19" s="327" t="str">
        <f>AQ18</f>
        <v/>
      </c>
      <c r="IK19" s="327" t="str">
        <f>IF($AP18="","",$AP18)</f>
        <v/>
      </c>
      <c r="IL19" s="327">
        <v>0.02</v>
      </c>
      <c r="IM19" s="327" t="str">
        <f t="shared" si="67"/>
        <v/>
      </c>
      <c r="IN19" s="327" t="e">
        <f>RANK(IM19,IM17:IM20)+COUNTIF(IM17:IM19,IM19)-1</f>
        <v>#VALUE!</v>
      </c>
      <c r="IO19" s="327" t="str">
        <f>IF(IK19="",II19,II19&amp;" ("&amp;IK19&amp;")")</f>
        <v>Rene Stellingwerf</v>
      </c>
      <c r="IP19" s="344">
        <v>3</v>
      </c>
      <c r="IQ19" s="337" t="str">
        <f>IF(AR16="","",VLOOKUP(IP19,IN17:IO20,2,FALSE))</f>
        <v/>
      </c>
      <c r="IU19" s="1113"/>
      <c r="IV19" s="702"/>
      <c r="IW19" s="703" t="str">
        <f t="shared" si="68"/>
        <v/>
      </c>
      <c r="IX19" s="704"/>
      <c r="IZ19" s="1113"/>
      <c r="JA19" s="702"/>
      <c r="JB19" s="703" t="str">
        <f t="shared" si="69"/>
        <v/>
      </c>
      <c r="JC19" s="704"/>
      <c r="JE19" s="1113"/>
      <c r="JF19" s="702"/>
      <c r="JG19" s="703" t="str">
        <f t="shared" si="70"/>
        <v/>
      </c>
      <c r="JH19" s="704"/>
      <c r="JI19" s="687"/>
      <c r="JJ19" s="1336"/>
      <c r="JK19" s="877">
        <v>73</v>
      </c>
      <c r="JL19" s="880" t="str">
        <f t="shared" si="108"/>
        <v/>
      </c>
      <c r="JM19" s="874" t="str">
        <f t="shared" si="71"/>
        <v/>
      </c>
      <c r="JN19" s="870" t="str">
        <f>IF($N$16="","",IF(AND($D$19=JL$11,$F$19&lt;&gt;""),$F$19,IF(AND($D$19=JL$11,$L$19&lt;&gt;""),$L$19,IF($D$19=JL$11,$M$19,""))))</f>
        <v/>
      </c>
      <c r="JO19" s="880" t="str">
        <f t="shared" si="109"/>
        <v/>
      </c>
      <c r="JP19" s="874" t="str">
        <f t="shared" si="72"/>
        <v/>
      </c>
      <c r="JQ19" s="870" t="str">
        <f>IF($N$16="","",IF(AND($D$19=JO$11,$F$19&lt;&gt;""),$F$19,IF(AND($D$19=JO$11,$L$19&lt;&gt;""),$L$19,IF($D$19=JO$11,$M$19,""))))</f>
        <v/>
      </c>
      <c r="JR19" s="880" t="str">
        <f t="shared" si="73"/>
        <v/>
      </c>
      <c r="JS19" s="874" t="str">
        <f t="shared" si="74"/>
        <v/>
      </c>
      <c r="JT19" s="870" t="str">
        <f>IF($N$16="","",IF(AND($D$19=JR$11,$F$19&lt;&gt;""),$F$19,IF(AND($D$19=JR$11,$L$19&lt;&gt;""),$L$19,IF($D$19=JR$11,$M$19,""))))</f>
        <v/>
      </c>
      <c r="JU19" s="880" t="str">
        <f t="shared" si="75"/>
        <v/>
      </c>
      <c r="JV19" s="874" t="str">
        <f t="shared" si="76"/>
        <v/>
      </c>
      <c r="JW19" s="870" t="str">
        <f>IF($N$16="","",IF(AND($D$19=JU$11,$F$19&lt;&gt;""),$F$19,IF(AND($D$19=JU$11,$L$19&lt;&gt;""),$L$19,IF($D$19=JU$11,$M$19,""))))</f>
        <v/>
      </c>
      <c r="JX19" s="880" t="str">
        <f t="shared" si="77"/>
        <v/>
      </c>
      <c r="JY19" s="874" t="str">
        <f t="shared" si="78"/>
        <v/>
      </c>
      <c r="JZ19" s="870" t="str">
        <f>IF($N$16="","",IF(AND($D$19=JX$11,$F$19&lt;&gt;""),$F$19,IF(AND($D$19=JX$11,$L$19&lt;&gt;""),$L$19,IF($D$19=JX$11,$M$19,""))))</f>
        <v/>
      </c>
      <c r="KA19" s="880" t="str">
        <f t="shared" si="79"/>
        <v/>
      </c>
      <c r="KB19" s="874" t="str">
        <f t="shared" si="80"/>
        <v/>
      </c>
      <c r="KC19" s="870" t="str">
        <f>IF($N$16="","",IF(AND($D$19=KA$11,$F$19&lt;&gt;""),$F$19,IF(AND($D$19=KA$11,$L$19&lt;&gt;""),$L$19,IF($D$19=KA$11,$M$19,""))))</f>
        <v/>
      </c>
      <c r="KD19" s="880" t="str">
        <f t="shared" si="81"/>
        <v/>
      </c>
      <c r="KE19" s="874" t="str">
        <f t="shared" si="82"/>
        <v/>
      </c>
      <c r="KF19" s="870" t="str">
        <f>IF($N$16="","",IF(AND($D$19=KD$11,$F$19&lt;&gt;""),$F$19,IF(AND($D$19=KD$11,$L$19&lt;&gt;""),$L$19,IF($D$19=KD$11,$M$19,""))))</f>
        <v/>
      </c>
      <c r="KG19" s="880" t="str">
        <f t="shared" si="83"/>
        <v/>
      </c>
      <c r="KH19" s="874" t="str">
        <f t="shared" si="84"/>
        <v/>
      </c>
      <c r="KI19" s="870" t="str">
        <f>IF($N$16="","",IF(AND($D$19=KG$11,$F$19&lt;&gt;""),$F$19,IF(AND($D$19=KG$11,$L$19&lt;&gt;""),$L$19,IF($D$19=KG$11,$M$19,""))))</f>
        <v/>
      </c>
      <c r="KJ19" s="880" t="str">
        <f t="shared" si="85"/>
        <v/>
      </c>
      <c r="KK19" s="874" t="str">
        <f t="shared" si="86"/>
        <v/>
      </c>
      <c r="KL19" s="870" t="str">
        <f>IF($N$16="","",IF(AND($D$19=KJ$11,$F$19&lt;&gt;""),$F$19,IF(AND($D$19=KJ$11,$L$19&lt;&gt;""),$L$19,IF($D$19=KJ$11,$M$19,""))))</f>
        <v/>
      </c>
      <c r="KM19" s="880" t="str">
        <f t="shared" si="87"/>
        <v/>
      </c>
      <c r="KN19" s="874" t="str">
        <f t="shared" si="88"/>
        <v/>
      </c>
      <c r="KO19" s="870" t="str">
        <f>IF($N$16="","",IF(AND($D$19=KM$11,$F$19&lt;&gt;""),$F$19,IF(AND($D$19=KM$11,$L$19&lt;&gt;""),$L$19,IF($D$19=KM$11,$M$19,""))))</f>
        <v/>
      </c>
      <c r="KP19" s="880" t="str">
        <f t="shared" si="89"/>
        <v/>
      </c>
      <c r="KQ19" s="874" t="str">
        <f t="shared" si="90"/>
        <v/>
      </c>
      <c r="KR19" s="870" t="str">
        <f>IF($N$16="","",IF(AND($D$19=KP$11,$F$19&lt;&gt;""),$F$19,IF(AND($D$19=KP$11,$L$19&lt;&gt;""),$L$19,IF($D$19=KP$11,$M$19,""))))</f>
        <v/>
      </c>
      <c r="KS19" s="880" t="str">
        <f t="shared" si="91"/>
        <v/>
      </c>
      <c r="KT19" s="874" t="str">
        <f t="shared" si="92"/>
        <v/>
      </c>
      <c r="KU19" s="870" t="str">
        <f>IF($N$16="","",IF(AND($D$19=KS$11,$F$19&lt;&gt;""),$F$19,IF(AND($D$19=KS$11,$L$19&lt;&gt;""),$L$19,IF($D$19=KS$11,$M$19,""))))</f>
        <v/>
      </c>
      <c r="KV19" s="880" t="str">
        <f t="shared" si="93"/>
        <v/>
      </c>
      <c r="KW19" s="874" t="str">
        <f t="shared" si="94"/>
        <v/>
      </c>
      <c r="KX19" s="870" t="str">
        <f>IF($N$16="","",IF(AND($D$19=KV$11,$F$19&lt;&gt;""),$F$19,IF(AND($D$19=KV$11,$L$19&lt;&gt;""),$L$19,IF($D$19=KV$11,$M$19,""))))</f>
        <v/>
      </c>
      <c r="KY19" s="880" t="str">
        <f t="shared" si="95"/>
        <v/>
      </c>
      <c r="KZ19" s="874" t="str">
        <f t="shared" si="96"/>
        <v/>
      </c>
      <c r="LA19" s="870" t="str">
        <f>IF($N$16="","",IF(AND($D$19=KY$11,$F$19&lt;&gt;""),$F$19,IF(AND($D$19=KY$11,$L$19&lt;&gt;""),$L$19,IF($D$19=KY$11,$M$19,""))))</f>
        <v/>
      </c>
      <c r="LB19" s="880" t="str">
        <f t="shared" si="97"/>
        <v/>
      </c>
      <c r="LC19" s="874" t="str">
        <f t="shared" si="98"/>
        <v/>
      </c>
      <c r="LD19" s="870" t="str">
        <f>IF($N$16="","",IF(AND($D$19=LB$11,$F$19&lt;&gt;""),$F$19,IF(AND($D$19=LB$11,$L$19&lt;&gt;""),$L$19,IF($D$19=LB$11,$M$19,""))))</f>
        <v/>
      </c>
      <c r="LE19" s="880" t="str">
        <f t="shared" si="99"/>
        <v/>
      </c>
      <c r="LF19" s="874" t="str">
        <f t="shared" si="100"/>
        <v/>
      </c>
      <c r="LG19" s="870" t="str">
        <f>IF($N$16="","",IF(AND($D$19=LE$11,$F$19&lt;&gt;""),$F$19,IF(AND($D$19=LE$11,$L$19&lt;&gt;""),$L$19,IF($D$19=LE$11,$M$19,""))))</f>
        <v/>
      </c>
      <c r="LH19"/>
      <c r="LI19"/>
      <c r="LJ19"/>
      <c r="LK19"/>
      <c r="LL19"/>
      <c r="LM19"/>
    </row>
    <row r="20" spans="1:325" ht="12.75" customHeight="1" thickBot="1">
      <c r="A20" s="1211">
        <v>3</v>
      </c>
      <c r="B20" s="329">
        <v>2</v>
      </c>
      <c r="C20" s="106">
        <f t="shared" si="101"/>
        <v>3</v>
      </c>
      <c r="D20" s="516" t="str">
        <f t="shared" si="102"/>
        <v>Dimitry Khomitsevich</v>
      </c>
      <c r="E20" s="1010"/>
      <c r="F20" s="1014" t="str">
        <f t="shared" si="47"/>
        <v/>
      </c>
      <c r="G20" s="544"/>
      <c r="H20" s="1210" t="str">
        <f t="shared" si="48"/>
        <v/>
      </c>
      <c r="I20" s="1210"/>
      <c r="J20" s="1210"/>
      <c r="K20" s="1210"/>
      <c r="L20" s="510"/>
      <c r="M20" s="93" t="str">
        <f>IF(N20="","",IF(N20="R",3,IF(N21="R",2,IF(N22="R",1,IF(N23="R",0,0)))))</f>
        <v/>
      </c>
      <c r="N20" s="706"/>
      <c r="O20" s="268"/>
      <c r="P20" s="1211">
        <v>11</v>
      </c>
      <c r="Q20" s="329">
        <v>8</v>
      </c>
      <c r="R20" s="106">
        <f t="shared" si="49"/>
        <v>7</v>
      </c>
      <c r="S20" s="516" t="str">
        <f t="shared" si="50"/>
        <v>Gunter Bauer</v>
      </c>
      <c r="T20" s="1010"/>
      <c r="U20" s="1014" t="str">
        <f t="shared" si="51"/>
        <v/>
      </c>
      <c r="V20" s="544"/>
      <c r="W20" s="1210" t="str">
        <f t="shared" si="52"/>
        <v/>
      </c>
      <c r="X20" s="1210"/>
      <c r="Y20" s="1210"/>
      <c r="Z20" s="1210"/>
      <c r="AA20" s="510"/>
      <c r="AB20" s="93" t="str">
        <f>IF(AC20="","",IF(AC20="R",3,IF(AC21="R",2,IF(AC22="R",1,IF(AC23="R",0,0)))))</f>
        <v/>
      </c>
      <c r="AC20" s="723"/>
      <c r="AD20" s="269"/>
      <c r="AE20" s="1211">
        <v>19</v>
      </c>
      <c r="AF20" s="329">
        <v>8</v>
      </c>
      <c r="AG20" s="106">
        <f t="shared" si="53"/>
        <v>7</v>
      </c>
      <c r="AH20" s="516" t="str">
        <f t="shared" si="54"/>
        <v>Gunter Bauer</v>
      </c>
      <c r="AI20" s="1010"/>
      <c r="AJ20" s="1014" t="str">
        <f t="shared" si="55"/>
        <v/>
      </c>
      <c r="AK20" s="544"/>
      <c r="AL20" s="1210" t="str">
        <f t="shared" si="56"/>
        <v/>
      </c>
      <c r="AM20" s="1210"/>
      <c r="AN20" s="1210"/>
      <c r="AO20" s="1210"/>
      <c r="AP20" s="510"/>
      <c r="AQ20" s="93" t="str">
        <f>IF(AR20="","",IF(AR20="R",3,IF(AR21="R",2,IF(AR22="R",1,IF(AR23="R",0,0)))))</f>
        <v/>
      </c>
      <c r="AR20" s="723"/>
      <c r="AS20" s="268"/>
      <c r="AT20" s="688" t="str">
        <f t="shared" si="57"/>
        <v/>
      </c>
      <c r="AU20" s="64" t="str">
        <f t="shared" si="57"/>
        <v/>
      </c>
      <c r="AV20" s="148" t="str">
        <f t="shared" si="58"/>
        <v>Per-Anders Lindstrom</v>
      </c>
      <c r="AW20" s="29" t="str">
        <f t="shared" si="59"/>
        <v/>
      </c>
      <c r="AX20" s="35" t="str">
        <f t="shared" si="59"/>
        <v/>
      </c>
      <c r="AY20" s="35" t="str">
        <f t="shared" si="59"/>
        <v/>
      </c>
      <c r="AZ20" s="35" t="str">
        <f t="shared" si="59"/>
        <v/>
      </c>
      <c r="BA20" s="30" t="str">
        <f t="shared" si="59"/>
        <v/>
      </c>
      <c r="BB20" s="191">
        <f t="shared" si="59"/>
        <v>0</v>
      </c>
      <c r="BD20" s="192" t="str">
        <f t="shared" si="60"/>
        <v/>
      </c>
      <c r="BE20" s="131" t="str">
        <f t="shared" si="103"/>
        <v/>
      </c>
      <c r="BF20" s="95" t="str">
        <f t="shared" si="103"/>
        <v/>
      </c>
      <c r="BG20"/>
      <c r="BH20" s="390">
        <f t="shared" si="104"/>
        <v>4</v>
      </c>
      <c r="BI20" s="974">
        <v>10</v>
      </c>
      <c r="BK20" s="451">
        <v>8</v>
      </c>
      <c r="BL20" s="8" t="str">
        <f>$M20</f>
        <v/>
      </c>
      <c r="BQ20" s="8" t="str">
        <f>$AB20</f>
        <v/>
      </c>
      <c r="BV20" s="8" t="str">
        <f>$AQ20</f>
        <v/>
      </c>
      <c r="BY20" s="8"/>
      <c r="BZ20" s="762">
        <v>9</v>
      </c>
      <c r="CA20" s="762" t="str">
        <f t="shared" ref="CA20:CA27" si="110">(AQ2)</f>
        <v/>
      </c>
      <c r="CB20" s="13">
        <v>1</v>
      </c>
      <c r="CC20" s="45">
        <f t="shared" si="4"/>
        <v>1</v>
      </c>
      <c r="CD20" s="46" t="str">
        <f>IF(CC20="","",IF(CC19=CC20,"=",""))</f>
        <v>=</v>
      </c>
      <c r="CE20" s="37">
        <v>18</v>
      </c>
      <c r="CF20" s="123">
        <f t="shared" si="5"/>
        <v>13</v>
      </c>
      <c r="CG20" s="128"/>
      <c r="CH20" s="76" t="str">
        <f t="shared" si="27"/>
        <v>Daniel Henderson</v>
      </c>
      <c r="CI20" s="280">
        <f t="shared" si="6"/>
        <v>0</v>
      </c>
      <c r="CJ20" s="87" t="str">
        <f t="shared" si="7"/>
        <v/>
      </c>
      <c r="CK20" s="71" t="str">
        <f t="shared" si="7"/>
        <v/>
      </c>
      <c r="CL20" s="71" t="str">
        <f t="shared" si="7"/>
        <v/>
      </c>
      <c r="CM20" s="71" t="str">
        <f t="shared" si="7"/>
        <v/>
      </c>
      <c r="CN20" s="88" t="str">
        <f t="shared" si="7"/>
        <v/>
      </c>
      <c r="CO20" s="80">
        <f t="shared" si="28"/>
        <v>0</v>
      </c>
      <c r="CP20" s="51"/>
      <c r="CQ20" s="251"/>
      <c r="CR20" s="252">
        <f t="shared" si="8"/>
        <v>13</v>
      </c>
      <c r="CS20" s="259">
        <f>RANK(DP20,$DP$3:$DP$20)+COUNTIF(DP$3:DP20,DP20)-1</f>
        <v>17</v>
      </c>
      <c r="CT20" s="253">
        <f>AF10</f>
        <v>18</v>
      </c>
      <c r="CU20" s="425">
        <f>VLOOKUP(CW20,Draw!$B$3:$C$42,2,FALSE)</f>
        <v>18</v>
      </c>
      <c r="CV20" s="254">
        <f>VLOOKUP(CW20,Draw!$B$3:$C$42,2,FALSE)</f>
        <v>18</v>
      </c>
      <c r="CW20" s="255" t="str">
        <f>AH10</f>
        <v>Max Niedermaier</v>
      </c>
      <c r="CX20" s="38" t="str">
        <f>AL10</f>
        <v/>
      </c>
      <c r="CY20" s="38" t="str">
        <f>AM10</f>
        <v/>
      </c>
      <c r="CZ20" s="38" t="str">
        <f>AN10</f>
        <v/>
      </c>
      <c r="DA20" s="38" t="str">
        <f>AO10</f>
        <v/>
      </c>
      <c r="DB20" s="256" t="str">
        <f>AP10</f>
        <v/>
      </c>
      <c r="DC20" s="257">
        <f t="shared" si="12"/>
        <v>0</v>
      </c>
      <c r="DD20" s="61">
        <f t="shared" si="13"/>
        <v>0</v>
      </c>
      <c r="DE20" s="237">
        <f t="shared" si="29"/>
        <v>0</v>
      </c>
      <c r="DF20" s="233">
        <f t="shared" si="14"/>
        <v>0</v>
      </c>
      <c r="DG20" s="235">
        <f t="shared" si="30"/>
        <v>0</v>
      </c>
      <c r="DH20" s="233">
        <f t="shared" si="15"/>
        <v>0</v>
      </c>
      <c r="DI20" s="241">
        <f t="shared" si="31"/>
        <v>0</v>
      </c>
      <c r="DJ20" s="272">
        <f t="shared" si="16"/>
        <v>0</v>
      </c>
      <c r="DK20" s="603">
        <f t="shared" si="32"/>
        <v>0</v>
      </c>
      <c r="DL20" s="282">
        <f>IF(EZ20=0,0,EZ20/1000000)</f>
        <v>0</v>
      </c>
      <c r="DM20" s="645">
        <f t="shared" si="43"/>
        <v>4.2E-7</v>
      </c>
      <c r="DN20" s="286">
        <f t="shared" si="18"/>
        <v>0</v>
      </c>
      <c r="DO20" s="286">
        <f t="shared" si="19"/>
        <v>0</v>
      </c>
      <c r="DP20" s="649">
        <f t="shared" si="33"/>
        <v>4.2E-7</v>
      </c>
      <c r="DQ20" s="597"/>
      <c r="FA20" s="130">
        <f t="shared" si="20"/>
        <v>18</v>
      </c>
      <c r="FB20" s="8" t="str">
        <f t="shared" si="20"/>
        <v>Max Niedermaier</v>
      </c>
      <c r="FC20" s="129">
        <f t="shared" si="34"/>
        <v>0</v>
      </c>
      <c r="FD20" s="129">
        <f>SUMIF($AG$40:$AG$43,$CV20,$AQ$40:$AQ$43)</f>
        <v>0</v>
      </c>
      <c r="FE20" s="504">
        <v>0</v>
      </c>
      <c r="FF20" s="129">
        <f t="shared" si="35"/>
        <v>0</v>
      </c>
      <c r="FG20" s="483">
        <f t="shared" si="22"/>
        <v>4.2E-7</v>
      </c>
      <c r="FH20" s="483">
        <f t="shared" si="36"/>
        <v>4.2E-7</v>
      </c>
      <c r="FI20" s="13">
        <f t="shared" si="37"/>
        <v>4.2E-7</v>
      </c>
      <c r="FJ20" s="484">
        <f t="shared" si="23"/>
        <v>4.2E-7</v>
      </c>
      <c r="FK20" s="762">
        <f t="shared" si="24"/>
        <v>17</v>
      </c>
      <c r="FL20" s="762">
        <v>18</v>
      </c>
      <c r="FM20" s="762">
        <f t="shared" si="38"/>
        <v>0</v>
      </c>
      <c r="FN20" s="512"/>
      <c r="FO20" s="13" t="str">
        <f t="shared" si="39"/>
        <v>Daniel Henderson</v>
      </c>
      <c r="FP20" s="496">
        <f t="shared" si="42"/>
        <v>0</v>
      </c>
      <c r="FQ20" s="13">
        <f t="shared" si="25"/>
        <v>0</v>
      </c>
      <c r="FS20" s="219">
        <v>5</v>
      </c>
      <c r="FT20" s="8" t="s">
        <v>35</v>
      </c>
      <c r="GW20" s="1143">
        <v>3</v>
      </c>
      <c r="GX20" s="229" t="str">
        <f>IF($N$20="","",IF($IW$20=$GX$3,$IX$20,IF(AND($H$20=$GX$3,$L$20&lt;&gt;""),$L$20,IF(AND($H$20=$GX$3,$L$20=""),$M$20,""))))</f>
        <v/>
      </c>
      <c r="GY20" s="299">
        <v>72</v>
      </c>
      <c r="GZ20" s="300" t="str">
        <f t="shared" si="105"/>
        <v/>
      </c>
      <c r="HA20" s="93" t="str">
        <f t="shared" si="62"/>
        <v/>
      </c>
      <c r="HB20" s="300"/>
      <c r="HC20" s="93" t="str">
        <f t="shared" si="106"/>
        <v/>
      </c>
      <c r="HG20" s="1143">
        <v>3</v>
      </c>
      <c r="HH20" s="229" t="str">
        <f>IF($N$20="","",IF($IW$20=$HH$3,$IX$20,IF(AND($H$20=$HH$3,$L$20&lt;&gt;""),$L$20,IF(AND($H$20=$HH$3,$L$20=""),$M$20,""))))</f>
        <v/>
      </c>
      <c r="HI20" s="299">
        <v>72</v>
      </c>
      <c r="HJ20" s="300" t="str">
        <f t="shared" si="107"/>
        <v/>
      </c>
      <c r="HK20" s="93" t="str">
        <f t="shared" si="63"/>
        <v/>
      </c>
      <c r="HL20" s="300"/>
      <c r="HM20" s="93" t="str">
        <f t="shared" si="64"/>
        <v/>
      </c>
      <c r="HN20" s="1150">
        <v>2</v>
      </c>
      <c r="HO20" s="131" t="str">
        <f>IF($H19="",$D19,$H19)</f>
        <v>Dimitry Koltakov</v>
      </c>
      <c r="HP20" s="884" t="str">
        <f>M19</f>
        <v/>
      </c>
      <c r="HQ20" s="327" t="str">
        <f>IF($L19="","",$L19)</f>
        <v/>
      </c>
      <c r="HR20" s="327">
        <v>0.01</v>
      </c>
      <c r="HS20" s="458" t="str">
        <f t="shared" si="65"/>
        <v/>
      </c>
      <c r="HT20" s="327" t="e">
        <f>RANK(HS20,HS17:HS20)+COUNTIF(HS17:HS20,HS20)-1</f>
        <v>#VALUE!</v>
      </c>
      <c r="HU20" s="327" t="str">
        <f>IF(HQ20="",HO20,HO20&amp;" ("&amp;HQ20&amp;")")</f>
        <v>Dimitry Koltakov</v>
      </c>
      <c r="HV20" s="328">
        <v>4</v>
      </c>
      <c r="HW20" s="337" t="str">
        <f>IF(N16="","",VLOOKUP(HV20,HT17:HU20,2,FALSE))</f>
        <v/>
      </c>
      <c r="HX20" s="1150">
        <v>10</v>
      </c>
      <c r="HY20" s="131" t="str">
        <f>IF($W19="",$S19,$W19)</f>
        <v>Rene Stellingwerf</v>
      </c>
      <c r="HZ20" s="327" t="str">
        <f>AB19</f>
        <v/>
      </c>
      <c r="IA20" s="327" t="str">
        <f>IF($AA19="","",$AA19)</f>
        <v/>
      </c>
      <c r="IB20" s="327">
        <v>0.01</v>
      </c>
      <c r="IC20" s="458" t="str">
        <f t="shared" si="66"/>
        <v/>
      </c>
      <c r="ID20" s="327" t="e">
        <f>RANK(IC20,IC17:IC20)+COUNTIF(IC17:IC20,IC20)-1</f>
        <v>#VALUE!</v>
      </c>
      <c r="IE20" s="327" t="str">
        <f>IF(IA20="",HY20,HY20&amp;" ("&amp;IA20&amp;")")</f>
        <v>Rene Stellingwerf</v>
      </c>
      <c r="IF20" s="344">
        <v>4</v>
      </c>
      <c r="IG20" s="337" t="str">
        <f>IF(AC16="","",VLOOKUP(IF20,ID17:IE20,2,FALSE))</f>
        <v/>
      </c>
      <c r="IH20" s="1150">
        <v>18</v>
      </c>
      <c r="II20" s="131" t="str">
        <f>IF($AL19="",$AH19,$AL19)</f>
        <v>Harald Simon</v>
      </c>
      <c r="IJ20" s="327" t="str">
        <f>AQ19</f>
        <v/>
      </c>
      <c r="IK20" s="327" t="str">
        <f>IF($AP19="","",$AP19)</f>
        <v/>
      </c>
      <c r="IL20" s="327">
        <v>0.01</v>
      </c>
      <c r="IM20" s="327" t="str">
        <f t="shared" si="67"/>
        <v/>
      </c>
      <c r="IN20" s="327" t="e">
        <f>RANK(IM20,IM17:IM20)+COUNTIF(IM17:IM20,IM20)-1</f>
        <v>#VALUE!</v>
      </c>
      <c r="IO20" s="327" t="str">
        <f>IF(IK20="",II20,II20&amp;" ("&amp;IK20&amp;")")</f>
        <v>Harald Simon</v>
      </c>
      <c r="IP20" s="344">
        <v>4</v>
      </c>
      <c r="IQ20" s="337" t="str">
        <f>IF(AR16="","",VLOOKUP(IP20,IN17:IO20,2,FALSE))</f>
        <v/>
      </c>
      <c r="IU20" s="1111">
        <v>3</v>
      </c>
      <c r="IV20" s="695"/>
      <c r="IW20" s="696" t="str">
        <f t="shared" si="68"/>
        <v/>
      </c>
      <c r="IX20" s="697"/>
      <c r="IZ20" s="1111">
        <v>11</v>
      </c>
      <c r="JA20" s="695"/>
      <c r="JB20" s="696" t="str">
        <f t="shared" si="69"/>
        <v/>
      </c>
      <c r="JC20" s="697"/>
      <c r="JE20" s="1111">
        <v>19</v>
      </c>
      <c r="JF20" s="695"/>
      <c r="JG20" s="696" t="str">
        <f t="shared" si="70"/>
        <v/>
      </c>
      <c r="JH20" s="697"/>
      <c r="JI20" s="687"/>
      <c r="JJ20" s="1334">
        <v>3</v>
      </c>
      <c r="JK20" s="875">
        <v>72</v>
      </c>
      <c r="JL20" s="878" t="str">
        <f t="shared" si="108"/>
        <v/>
      </c>
      <c r="JM20" s="872" t="str">
        <f t="shared" si="71"/>
        <v/>
      </c>
      <c r="JN20" s="868" t="str">
        <f>IF($N$20="","",IF(AND($D$20=JL$11,$F$20&lt;&gt;""),$F$20,IF(AND($D$20=JL$11,$L$20&lt;&gt;""),$L$20,IF($D$20=JL$11,$M$20,""))))</f>
        <v/>
      </c>
      <c r="JO20" s="878" t="str">
        <f t="shared" si="109"/>
        <v/>
      </c>
      <c r="JP20" s="872" t="str">
        <f t="shared" si="72"/>
        <v/>
      </c>
      <c r="JQ20" s="868" t="str">
        <f>IF($N$20="","",IF(AND($D$20=JO$11,$F$20&lt;&gt;""),$F$20,IF(AND($D$20=JO$11,$L$20&lt;&gt;""),$L$20,IF($D$20=JO$11,$M$20,""))))</f>
        <v/>
      </c>
      <c r="JR20" s="878" t="str">
        <f t="shared" si="73"/>
        <v/>
      </c>
      <c r="JS20" s="872" t="str">
        <f t="shared" si="74"/>
        <v/>
      </c>
      <c r="JT20" s="868" t="str">
        <f>IF($N$20="","",IF(AND($D$20=JR$11,$F$20&lt;&gt;""),$F$20,IF(AND($D$20=JR$11,$L$20&lt;&gt;""),$L$20,IF($D$20=JR$11,$M$20,""))))</f>
        <v/>
      </c>
      <c r="JU20" s="878" t="str">
        <f t="shared" si="75"/>
        <v/>
      </c>
      <c r="JV20" s="872" t="str">
        <f t="shared" si="76"/>
        <v/>
      </c>
      <c r="JW20" s="868" t="str">
        <f>IF($N$20="","",IF(AND($D$20=JU$11,$F$20&lt;&gt;""),$F$20,IF(AND($D$20=JU$11,$L$20&lt;&gt;""),$L$20,IF($D$20=JU$11,$M$20,""))))</f>
        <v/>
      </c>
      <c r="JX20" s="878" t="str">
        <f t="shared" si="77"/>
        <v/>
      </c>
      <c r="JY20" s="872" t="str">
        <f t="shared" si="78"/>
        <v/>
      </c>
      <c r="JZ20" s="868" t="str">
        <f>IF($N$20="","",IF(AND($D$20=JX$11,$F$20&lt;&gt;""),$F$20,IF(AND($D$20=JX$11,$L$20&lt;&gt;""),$L$20,IF($D$20=JX$11,$M$20,""))))</f>
        <v/>
      </c>
      <c r="KA20" s="878" t="str">
        <f t="shared" si="79"/>
        <v/>
      </c>
      <c r="KB20" s="872" t="str">
        <f t="shared" si="80"/>
        <v/>
      </c>
      <c r="KC20" s="868" t="str">
        <f>IF($N$20="","",IF(AND($D$20=KA$11,$F$20&lt;&gt;""),$F$20,IF(AND($D$20=KA$11,$L$20&lt;&gt;""),$L$20,IF($D$20=KA$11,$M$20,""))))</f>
        <v/>
      </c>
      <c r="KD20" s="878" t="str">
        <f t="shared" si="81"/>
        <v/>
      </c>
      <c r="KE20" s="872" t="str">
        <f t="shared" si="82"/>
        <v/>
      </c>
      <c r="KF20" s="868" t="str">
        <f>IF($N$20="","",IF(AND($D$20=KD$11,$F$20&lt;&gt;""),$F$20,IF(AND($D$20=KD$11,$L$20&lt;&gt;""),$L$20,IF($D$20=KD$11,$M$20,""))))</f>
        <v/>
      </c>
      <c r="KG20" s="878" t="str">
        <f t="shared" si="83"/>
        <v/>
      </c>
      <c r="KH20" s="872" t="str">
        <f t="shared" si="84"/>
        <v/>
      </c>
      <c r="KI20" s="868" t="str">
        <f>IF($N$20="","",IF(AND($D$20=KG$11,$F$20&lt;&gt;""),$F$20,IF(AND($D$20=KG$11,$L$20&lt;&gt;""),$L$20,IF($D$20=KG$11,$M$20,""))))</f>
        <v/>
      </c>
      <c r="KJ20" s="878" t="str">
        <f t="shared" si="85"/>
        <v/>
      </c>
      <c r="KK20" s="872" t="str">
        <f t="shared" si="86"/>
        <v/>
      </c>
      <c r="KL20" s="868" t="str">
        <f>IF($N$20="","",IF(AND($D$20=KJ$11,$F$20&lt;&gt;""),$F$20,IF(AND($D$20=KJ$11,$L$20&lt;&gt;""),$L$20,IF($D$20=KJ$11,$M$20,""))))</f>
        <v/>
      </c>
      <c r="KM20" s="878" t="str">
        <f t="shared" si="87"/>
        <v/>
      </c>
      <c r="KN20" s="872" t="str">
        <f t="shared" si="88"/>
        <v/>
      </c>
      <c r="KO20" s="868" t="str">
        <f>IF($N$20="","",IF(AND($D$20=KM$11,$F$20&lt;&gt;""),$F$20,IF(AND($D$20=KM$11,$L$20&lt;&gt;""),$L$20,IF($D$20=KM$11,$M$20,""))))</f>
        <v/>
      </c>
      <c r="KP20" s="878" t="str">
        <f t="shared" si="89"/>
        <v/>
      </c>
      <c r="KQ20" s="872" t="str">
        <f t="shared" si="90"/>
        <v/>
      </c>
      <c r="KR20" s="868" t="str">
        <f>IF($N$20="","",IF(AND($D$20=KP$11,$F$20&lt;&gt;""),$F$20,IF(AND($D$20=KP$11,$L$20&lt;&gt;""),$L$20,IF($D$20=KP$11,$M$20,""))))</f>
        <v/>
      </c>
      <c r="KS20" s="878" t="str">
        <f t="shared" si="91"/>
        <v/>
      </c>
      <c r="KT20" s="872" t="str">
        <f t="shared" si="92"/>
        <v/>
      </c>
      <c r="KU20" s="868" t="str">
        <f>IF($N$20="","",IF(AND($D$20=KS$11,$F$20&lt;&gt;""),$F$20,IF(AND($D$20=KS$11,$L$20&lt;&gt;""),$L$20,IF($D$20=KS$11,$M$20,""))))</f>
        <v/>
      </c>
      <c r="KV20" s="878" t="str">
        <f t="shared" si="93"/>
        <v/>
      </c>
      <c r="KW20" s="872" t="str">
        <f t="shared" si="94"/>
        <v/>
      </c>
      <c r="KX20" s="868" t="str">
        <f>IF($N$20="","",IF(AND($D$20=KV$11,$F$20&lt;&gt;""),$F$20,IF(AND($D$20=KV$11,$L$20&lt;&gt;""),$L$20,IF($D$20=KV$11,$M$20,""))))</f>
        <v/>
      </c>
      <c r="KY20" s="878" t="str">
        <f t="shared" si="95"/>
        <v/>
      </c>
      <c r="KZ20" s="872" t="str">
        <f t="shared" si="96"/>
        <v/>
      </c>
      <c r="LA20" s="868" t="str">
        <f>IF($N$20="","",IF(AND($D$20=KY$11,$F$20&lt;&gt;""),$F$20,IF(AND($D$20=KY$11,$L$20&lt;&gt;""),$L$20,IF($D$20=KY$11,$M$20,""))))</f>
        <v/>
      </c>
      <c r="LB20" s="878" t="str">
        <f t="shared" si="97"/>
        <v/>
      </c>
      <c r="LC20" s="872" t="str">
        <f t="shared" si="98"/>
        <v/>
      </c>
      <c r="LD20" s="868" t="str">
        <f>IF($N$20="","",IF(AND($D$20=LB$11,$F$20&lt;&gt;""),$F$20,IF(AND($D$20=LB$11,$L$20&lt;&gt;""),$L$20,IF($D$20=LB$11,$M$20,""))))</f>
        <v/>
      </c>
      <c r="LE20" s="878" t="str">
        <f t="shared" si="99"/>
        <v/>
      </c>
      <c r="LF20" s="872" t="str">
        <f t="shared" si="100"/>
        <v/>
      </c>
      <c r="LG20" s="868" t="str">
        <f>IF($N$20="","",IF(AND($D$20=LE$11,$F$20&lt;&gt;""),$F$20,IF(AND($D$20=LE$11,$L$20&lt;&gt;""),$L$20,IF($D$20=LE$11,$M$20,""))))</f>
        <v/>
      </c>
      <c r="LH20"/>
      <c r="LI20"/>
      <c r="LJ20"/>
      <c r="LK20"/>
      <c r="LL20"/>
      <c r="LM20"/>
    </row>
    <row r="21" spans="1:325" ht="12.75" customHeight="1" thickBot="1">
      <c r="A21" s="1212"/>
      <c r="B21" s="39">
        <v>1</v>
      </c>
      <c r="C21" s="101">
        <f t="shared" si="101"/>
        <v>9</v>
      </c>
      <c r="D21" s="517" t="str">
        <f t="shared" si="102"/>
        <v>Per-Anders Lindstrom</v>
      </c>
      <c r="E21" s="1011"/>
      <c r="F21" s="1015" t="str">
        <f t="shared" si="47"/>
        <v/>
      </c>
      <c r="G21" s="545"/>
      <c r="H21" s="1198" t="str">
        <f t="shared" si="48"/>
        <v/>
      </c>
      <c r="I21" s="1198"/>
      <c r="J21" s="1198"/>
      <c r="K21" s="1198"/>
      <c r="L21" s="508"/>
      <c r="M21" s="146" t="str">
        <f>IF(N20="","",IF(N20="B",3,IF(N21="B",2,IF(N22="B",1,IF(N23="B",0,0)))))</f>
        <v/>
      </c>
      <c r="N21" s="707"/>
      <c r="O21" s="268"/>
      <c r="P21" s="1212"/>
      <c r="Q21" s="39">
        <v>14</v>
      </c>
      <c r="R21" s="101">
        <f t="shared" si="49"/>
        <v>8</v>
      </c>
      <c r="S21" s="517" t="str">
        <f t="shared" si="50"/>
        <v>Stefan Pletschacher</v>
      </c>
      <c r="T21" s="1011"/>
      <c r="U21" s="1015" t="str">
        <f t="shared" si="51"/>
        <v/>
      </c>
      <c r="V21" s="545"/>
      <c r="W21" s="1198" t="str">
        <f t="shared" si="52"/>
        <v/>
      </c>
      <c r="X21" s="1198"/>
      <c r="Y21" s="1198"/>
      <c r="Z21" s="1198"/>
      <c r="AA21" s="508"/>
      <c r="AB21" s="146" t="str">
        <f>IF(AC20="","",IF(AC20="B",3,IF(AC21="B",2,IF(AC22="B",1,IF(AC23="B",0,0)))))</f>
        <v/>
      </c>
      <c r="AC21" s="724"/>
      <c r="AD21" s="269"/>
      <c r="AE21" s="1212"/>
      <c r="AF21" s="39">
        <v>13</v>
      </c>
      <c r="AG21" s="101">
        <f t="shared" si="53"/>
        <v>19</v>
      </c>
      <c r="AH21" s="517" t="str">
        <f t="shared" si="54"/>
        <v>Daniel Henderson</v>
      </c>
      <c r="AI21" s="1011"/>
      <c r="AJ21" s="1015" t="str">
        <f t="shared" si="55"/>
        <v/>
      </c>
      <c r="AK21" s="545"/>
      <c r="AL21" s="1198" t="str">
        <f t="shared" si="56"/>
        <v/>
      </c>
      <c r="AM21" s="1198"/>
      <c r="AN21" s="1198"/>
      <c r="AO21" s="1198"/>
      <c r="AP21" s="508"/>
      <c r="AQ21" s="146" t="str">
        <f>IF(AR20="","",IF(AR20="B",3,IF(AR21="B",2,IF(AR22="B",1,IF(AR23="B",0,0)))))</f>
        <v/>
      </c>
      <c r="AR21" s="724"/>
      <c r="AS21" s="268"/>
      <c r="AT21" s="689" t="str">
        <f t="shared" si="57"/>
        <v/>
      </c>
      <c r="AU21" s="65" t="str">
        <f t="shared" si="57"/>
        <v/>
      </c>
      <c r="AV21" s="94" t="str">
        <f t="shared" si="58"/>
        <v>Franz Zorn</v>
      </c>
      <c r="AW21" s="3" t="str">
        <f t="shared" si="59"/>
        <v/>
      </c>
      <c r="AX21" s="4" t="str">
        <f t="shared" si="59"/>
        <v/>
      </c>
      <c r="AY21" s="4" t="str">
        <f t="shared" si="59"/>
        <v/>
      </c>
      <c r="AZ21" s="4" t="str">
        <f t="shared" si="59"/>
        <v/>
      </c>
      <c r="BA21" s="26" t="str">
        <f t="shared" si="59"/>
        <v/>
      </c>
      <c r="BB21" s="189">
        <f t="shared" si="59"/>
        <v>0</v>
      </c>
      <c r="BD21" s="192" t="str">
        <f t="shared" si="60"/>
        <v/>
      </c>
      <c r="BE21" s="131" t="str">
        <f t="shared" si="103"/>
        <v/>
      </c>
      <c r="BF21" s="95" t="str">
        <f t="shared" si="103"/>
        <v/>
      </c>
      <c r="BG21"/>
      <c r="BH21" s="390">
        <f t="shared" si="104"/>
        <v>4</v>
      </c>
      <c r="BI21" s="974">
        <v>9</v>
      </c>
      <c r="BK21" s="451">
        <v>7</v>
      </c>
      <c r="BM21" s="8" t="str">
        <f>$M21</f>
        <v/>
      </c>
      <c r="BR21" s="8" t="str">
        <f>$AB21</f>
        <v/>
      </c>
      <c r="BW21" s="8" t="str">
        <f>$AQ21</f>
        <v/>
      </c>
      <c r="BY21" s="8"/>
      <c r="BZ21" s="762">
        <v>10</v>
      </c>
      <c r="CA21" s="762" t="str">
        <f t="shared" si="110"/>
        <v/>
      </c>
      <c r="CB21" s="13">
        <v>2</v>
      </c>
      <c r="CC21" s="1243" t="s">
        <v>19</v>
      </c>
      <c r="CD21" s="1244"/>
      <c r="CE21" s="1244"/>
      <c r="CF21" s="1244"/>
      <c r="CG21" s="1244"/>
      <c r="CH21" s="1244"/>
      <c r="CI21" s="1244"/>
      <c r="CJ21" s="1244"/>
      <c r="CK21" s="1244"/>
      <c r="CL21" s="1244"/>
      <c r="CM21" s="1244"/>
      <c r="CN21" s="1244"/>
      <c r="CO21" s="1244"/>
      <c r="CP21" s="1245"/>
      <c r="CS21" s="261" t="s">
        <v>27</v>
      </c>
      <c r="CT21" s="770"/>
      <c r="CU21" s="770"/>
      <c r="CV21" s="770"/>
      <c r="CW21" s="770"/>
      <c r="CX21" s="770"/>
      <c r="CY21" s="770"/>
      <c r="CZ21" s="770"/>
      <c r="DA21" s="770"/>
      <c r="DG21" s="13" t="s">
        <v>193</v>
      </c>
      <c r="DI21" s="13" t="s">
        <v>194</v>
      </c>
      <c r="DK21" s="762" t="s">
        <v>195</v>
      </c>
      <c r="DL21" s="762" t="s">
        <v>198</v>
      </c>
      <c r="DM21" s="426" t="s">
        <v>99</v>
      </c>
      <c r="DN21" s="180" t="s">
        <v>28</v>
      </c>
      <c r="FG21" s="187" t="s">
        <v>31</v>
      </c>
      <c r="FH21" s="187"/>
      <c r="FQ21" s="290"/>
      <c r="GW21" s="1144"/>
      <c r="GX21" s="230" t="str">
        <f>IF($N$20="","",IF($IW$21=$GX$3,$IX$21,IF(AND($H$21=$GX$3,$L$21&lt;&gt;""),$L$21,IF(AND($H$21=$GX$3,$L$21=""),$M$21,""))))</f>
        <v/>
      </c>
      <c r="GY21" s="301">
        <v>71</v>
      </c>
      <c r="GZ21" s="5" t="str">
        <f t="shared" si="105"/>
        <v/>
      </c>
      <c r="HA21" s="95" t="str">
        <f t="shared" si="62"/>
        <v/>
      </c>
      <c r="HB21" s="5"/>
      <c r="HC21" s="95" t="str">
        <f t="shared" si="106"/>
        <v/>
      </c>
      <c r="HG21" s="1144"/>
      <c r="HH21" s="230" t="str">
        <f>IF($N$20="","",IF($IW$21=$HH$3,$IX$21,IF(AND($H$21=$HH$3,$L$21&lt;&gt;""),$L$21,IF(AND($H$21=$HH$3,$L$21=""),$M$21,""))))</f>
        <v/>
      </c>
      <c r="HI21" s="301">
        <v>71</v>
      </c>
      <c r="HJ21" s="5" t="str">
        <f t="shared" si="107"/>
        <v/>
      </c>
      <c r="HK21" s="95" t="str">
        <f t="shared" si="63"/>
        <v/>
      </c>
      <c r="HL21" s="5"/>
      <c r="HM21" s="95" t="str">
        <f t="shared" si="64"/>
        <v/>
      </c>
      <c r="HN21" s="348" t="str">
        <f>IF($A19="","",$A19)</f>
        <v/>
      </c>
      <c r="HO21" s="132" t="str">
        <f>IF($H16&lt;&gt;"",$D16,IF($H17&lt;&gt;"",$D17,IF($H18&lt;&gt;"",$D18,IF($H19&lt;&gt;"",$D19,""))))</f>
        <v/>
      </c>
      <c r="HP21" s="885" t="str">
        <f>IF(HO21="","",VLOOKUP($HO21,$CW$3:$DB$18,2,FALSE))</f>
        <v/>
      </c>
      <c r="HQ21" s="338"/>
      <c r="HR21" s="338"/>
      <c r="HS21" s="338">
        <v>5</v>
      </c>
      <c r="HT21" s="338"/>
      <c r="HU21" s="132" t="str">
        <f>IF(HO21="","",HO21&amp;" ("&amp;HP21&amp;")")</f>
        <v/>
      </c>
      <c r="HV21" s="349">
        <v>5</v>
      </c>
      <c r="HW21" s="339" t="str">
        <f>IF(HU21="","",HU21)</f>
        <v/>
      </c>
      <c r="HX21" s="348" t="str">
        <f>IF($P19="","",$P19)</f>
        <v/>
      </c>
      <c r="HY21" s="132" t="str">
        <f>IF($W16&lt;&gt;"",$S16,IF($W17&lt;&gt;"",$S17,IF($W18&lt;&gt;"",$S18,IF($W19&lt;&gt;"",$S19,""))))</f>
        <v/>
      </c>
      <c r="HZ21" s="338" t="str">
        <f>IF(HY21="","",VLOOKUP($HY21,$CW$3:$DB$18,4,FALSE))</f>
        <v/>
      </c>
      <c r="IA21" s="338"/>
      <c r="IB21" s="338"/>
      <c r="IC21" s="338">
        <v>5</v>
      </c>
      <c r="ID21" s="338"/>
      <c r="IE21" s="132" t="str">
        <f>IF(HY21="","",HY21&amp;" ("&amp;HZ21&amp;")")</f>
        <v/>
      </c>
      <c r="IF21" s="351">
        <v>5</v>
      </c>
      <c r="IG21" s="339" t="str">
        <f>IF(IE21="","",IE21)</f>
        <v/>
      </c>
      <c r="IH21" s="348" t="str">
        <f>IF($AE19="","",$AE19)</f>
        <v/>
      </c>
      <c r="II21" s="132" t="str">
        <f>IF($AL16&lt;&gt;"",$AH16,IF($AL17&lt;&gt;"",$AH17,IF($AL18&lt;&gt;"",$AH18,IF($AL19&lt;&gt;"",$AH19,""))))</f>
        <v/>
      </c>
      <c r="IJ21" s="338" t="str">
        <f>IF(II21="","",VLOOKUP($II21,$CW$3:$DB$18,6,FALSE))</f>
        <v/>
      </c>
      <c r="IK21" s="338"/>
      <c r="IL21" s="338"/>
      <c r="IM21" s="338">
        <v>5</v>
      </c>
      <c r="IN21" s="338"/>
      <c r="IO21" s="132" t="str">
        <f>IF(II21="","",II21&amp;" ("&amp;IJ21&amp;")")</f>
        <v/>
      </c>
      <c r="IP21" s="351">
        <v>5</v>
      </c>
      <c r="IQ21" s="339" t="str">
        <f>IF(IO21="","",IO21)</f>
        <v/>
      </c>
      <c r="IU21" s="1112"/>
      <c r="IV21" s="698"/>
      <c r="IW21" s="699" t="str">
        <f t="shared" si="68"/>
        <v/>
      </c>
      <c r="IX21" s="700"/>
      <c r="IZ21" s="1112"/>
      <c r="JA21" s="698"/>
      <c r="JB21" s="699" t="str">
        <f t="shared" si="69"/>
        <v/>
      </c>
      <c r="JC21" s="700"/>
      <c r="JE21" s="1112"/>
      <c r="JF21" s="698"/>
      <c r="JG21" s="699" t="str">
        <f t="shared" si="70"/>
        <v/>
      </c>
      <c r="JH21" s="700"/>
      <c r="JI21" s="687"/>
      <c r="JJ21" s="1335"/>
      <c r="JK21" s="876">
        <v>71</v>
      </c>
      <c r="JL21" s="879" t="str">
        <f t="shared" si="108"/>
        <v/>
      </c>
      <c r="JM21" s="655" t="str">
        <f t="shared" si="71"/>
        <v/>
      </c>
      <c r="JN21" s="869" t="str">
        <f>IF($N$20="","",IF(AND($D$21=JL$11,$F$21&lt;&gt;""),$F$21,IF(AND($D$21=JL$11,$L$21&lt;&gt;""),$L$21,IF($D$21=JL$11,$M$21,""))))</f>
        <v/>
      </c>
      <c r="JO21" s="879" t="str">
        <f t="shared" si="109"/>
        <v/>
      </c>
      <c r="JP21" s="655" t="str">
        <f t="shared" si="72"/>
        <v/>
      </c>
      <c r="JQ21" s="869" t="str">
        <f>IF($N$20="","",IF(AND($D$21=JO$11,$F$21&lt;&gt;""),$F$21,IF(AND($D$21=JO$11,$L$21&lt;&gt;""),$L$21,IF($D$21=JO$11,$M$21,""))))</f>
        <v/>
      </c>
      <c r="JR21" s="879" t="str">
        <f t="shared" si="73"/>
        <v/>
      </c>
      <c r="JS21" s="655" t="str">
        <f t="shared" si="74"/>
        <v/>
      </c>
      <c r="JT21" s="869" t="str">
        <f>IF($N$20="","",IF(AND($D$21=JR$11,$F$21&lt;&gt;""),$F$21,IF(AND($D$21=JR$11,$L$21&lt;&gt;""),$L$21,IF($D$21=JR$11,$M$21,""))))</f>
        <v/>
      </c>
      <c r="JU21" s="879" t="str">
        <f t="shared" si="75"/>
        <v/>
      </c>
      <c r="JV21" s="655" t="str">
        <f t="shared" si="76"/>
        <v/>
      </c>
      <c r="JW21" s="869" t="str">
        <f>IF($N$20="","",IF(AND($D$21=JU$11,$F$21&lt;&gt;""),$F$21,IF(AND($D$21=JU$11,$L$21&lt;&gt;""),$L$21,IF($D$21=JU$11,$M$21,""))))</f>
        <v/>
      </c>
      <c r="JX21" s="879" t="str">
        <f t="shared" si="77"/>
        <v/>
      </c>
      <c r="JY21" s="655" t="str">
        <f t="shared" si="78"/>
        <v/>
      </c>
      <c r="JZ21" s="869" t="str">
        <f>IF($N$20="","",IF(AND($D$21=JX$11,$F$21&lt;&gt;""),$F$21,IF(AND($D$21=JX$11,$L$21&lt;&gt;""),$L$21,IF($D$21=JX$11,$M$21,""))))</f>
        <v/>
      </c>
      <c r="KA21" s="879" t="str">
        <f t="shared" si="79"/>
        <v/>
      </c>
      <c r="KB21" s="655" t="str">
        <f t="shared" si="80"/>
        <v/>
      </c>
      <c r="KC21" s="869" t="str">
        <f>IF($N$20="","",IF(AND($D$21=KA$11,$F$21&lt;&gt;""),$F$21,IF(AND($D$21=KA$11,$L$21&lt;&gt;""),$L$21,IF($D$21=KA$11,$M$21,""))))</f>
        <v/>
      </c>
      <c r="KD21" s="879" t="str">
        <f t="shared" si="81"/>
        <v/>
      </c>
      <c r="KE21" s="655" t="str">
        <f t="shared" si="82"/>
        <v/>
      </c>
      <c r="KF21" s="869" t="str">
        <f>IF($N$20="","",IF(AND($D$21=KD$11,$F$21&lt;&gt;""),$F$21,IF(AND($D$21=KD$11,$L$21&lt;&gt;""),$L$21,IF($D$21=KD$11,$M$21,""))))</f>
        <v/>
      </c>
      <c r="KG21" s="879" t="str">
        <f t="shared" si="83"/>
        <v/>
      </c>
      <c r="KH21" s="655" t="str">
        <f t="shared" si="84"/>
        <v/>
      </c>
      <c r="KI21" s="869" t="str">
        <f>IF($N$20="","",IF(AND($D$21=KG$11,$F$21&lt;&gt;""),$F$21,IF(AND($D$21=KG$11,$L$21&lt;&gt;""),$L$21,IF($D$21=KG$11,$M$21,""))))</f>
        <v/>
      </c>
      <c r="KJ21" s="879" t="str">
        <f t="shared" si="85"/>
        <v/>
      </c>
      <c r="KK21" s="655" t="str">
        <f t="shared" si="86"/>
        <v/>
      </c>
      <c r="KL21" s="869" t="str">
        <f>IF($N$20="","",IF(AND($D$21=KJ$11,$F$21&lt;&gt;""),$F$21,IF(AND($D$21=KJ$11,$L$21&lt;&gt;""),$L$21,IF($D$21=KJ$11,$M$21,""))))</f>
        <v/>
      </c>
      <c r="KM21" s="879" t="str">
        <f t="shared" si="87"/>
        <v/>
      </c>
      <c r="KN21" s="655" t="str">
        <f t="shared" si="88"/>
        <v/>
      </c>
      <c r="KO21" s="869" t="str">
        <f>IF($N$20="","",IF(AND($D$21=KM$11,$F$21&lt;&gt;""),$F$21,IF(AND($D$21=KM$11,$L$21&lt;&gt;""),$L$21,IF($D$21=KM$11,$M$21,""))))</f>
        <v/>
      </c>
      <c r="KP21" s="879" t="str">
        <f t="shared" si="89"/>
        <v/>
      </c>
      <c r="KQ21" s="655" t="str">
        <f t="shared" si="90"/>
        <v/>
      </c>
      <c r="KR21" s="869" t="str">
        <f>IF($N$20="","",IF(AND($D$21=KP$11,$F$21&lt;&gt;""),$F$21,IF(AND($D$21=KP$11,$L$21&lt;&gt;""),$L$21,IF($D$21=KP$11,$M$21,""))))</f>
        <v/>
      </c>
      <c r="KS21" s="879" t="str">
        <f t="shared" si="91"/>
        <v/>
      </c>
      <c r="KT21" s="655" t="str">
        <f t="shared" si="92"/>
        <v/>
      </c>
      <c r="KU21" s="869" t="str">
        <f>IF($N$20="","",IF(AND($D$21=KS$11,$F$21&lt;&gt;""),$F$21,IF(AND($D$21=KS$11,$L$21&lt;&gt;""),$L$21,IF($D$21=KS$11,$M$21,""))))</f>
        <v/>
      </c>
      <c r="KV21" s="879" t="str">
        <f t="shared" si="93"/>
        <v/>
      </c>
      <c r="KW21" s="655" t="str">
        <f t="shared" si="94"/>
        <v/>
      </c>
      <c r="KX21" s="869" t="str">
        <f>IF($N$20="","",IF(AND($D$21=KV$11,$F$21&lt;&gt;""),$F$21,IF(AND($D$21=KV$11,$L$21&lt;&gt;""),$L$21,IF($D$21=KV$11,$M$21,""))))</f>
        <v/>
      </c>
      <c r="KY21" s="879" t="str">
        <f t="shared" si="95"/>
        <v/>
      </c>
      <c r="KZ21" s="655" t="str">
        <f t="shared" si="96"/>
        <v/>
      </c>
      <c r="LA21" s="869" t="str">
        <f>IF($N$20="","",IF(AND($D$21=KY$11,$F$21&lt;&gt;""),$F$21,IF(AND($D$21=KY$11,$L$21&lt;&gt;""),$L$21,IF($D$21=KY$11,$M$21,""))))</f>
        <v/>
      </c>
      <c r="LB21" s="879" t="str">
        <f t="shared" si="97"/>
        <v/>
      </c>
      <c r="LC21" s="655" t="str">
        <f t="shared" si="98"/>
        <v/>
      </c>
      <c r="LD21" s="869" t="str">
        <f>IF($N$20="","",IF(AND($D$21=LB$11,$F$21&lt;&gt;""),$F$21,IF(AND($D$21=LB$11,$L$21&lt;&gt;""),$L$21,IF($D$21=LB$11,$M$21,""))))</f>
        <v/>
      </c>
      <c r="LE21" s="879" t="str">
        <f t="shared" si="99"/>
        <v/>
      </c>
      <c r="LF21" s="655" t="str">
        <f t="shared" si="100"/>
        <v/>
      </c>
      <c r="LG21" s="869" t="str">
        <f>IF($N$20="","",IF(AND($D$21=LE$11,$F$21&lt;&gt;""),$F$21,IF(AND($D$21=LE$11,$L$21&lt;&gt;""),$L$21,IF($D$21=LE$11,$M$21,""))))</f>
        <v/>
      </c>
      <c r="LH21"/>
      <c r="LI21"/>
      <c r="LJ21"/>
      <c r="LK21"/>
      <c r="LL21"/>
      <c r="LM21"/>
    </row>
    <row r="22" spans="1:325" ht="12.75" customHeight="1" thickBot="1">
      <c r="A22" s="1212"/>
      <c r="B22" s="39">
        <v>14</v>
      </c>
      <c r="C22" s="102">
        <f t="shared" si="101"/>
        <v>8</v>
      </c>
      <c r="D22" s="517" t="str">
        <f t="shared" si="102"/>
        <v>Stefan Pletschacher</v>
      </c>
      <c r="E22" s="1011"/>
      <c r="F22" s="1015" t="str">
        <f t="shared" si="47"/>
        <v/>
      </c>
      <c r="G22" s="545"/>
      <c r="H22" s="1198" t="str">
        <f t="shared" si="48"/>
        <v/>
      </c>
      <c r="I22" s="1198"/>
      <c r="J22" s="1198"/>
      <c r="K22" s="1198"/>
      <c r="L22" s="508"/>
      <c r="M22" s="146" t="str">
        <f>IF(N20="","",IF(N20="w",3,IF(N21="w",2,IF(N22="w",1,IF(N23="w",0,0)))))</f>
        <v/>
      </c>
      <c r="N22" s="707"/>
      <c r="O22" s="268"/>
      <c r="P22" s="1212"/>
      <c r="Q22" s="39">
        <v>15</v>
      </c>
      <c r="R22" s="102">
        <f t="shared" si="49"/>
        <v>2</v>
      </c>
      <c r="S22" s="517" t="str">
        <f t="shared" si="50"/>
        <v>Dimitry Koltakov</v>
      </c>
      <c r="T22" s="1011"/>
      <c r="U22" s="1015" t="str">
        <f t="shared" si="51"/>
        <v/>
      </c>
      <c r="V22" s="545"/>
      <c r="W22" s="1198" t="str">
        <f t="shared" si="52"/>
        <v/>
      </c>
      <c r="X22" s="1198"/>
      <c r="Y22" s="1198"/>
      <c r="Z22" s="1198"/>
      <c r="AA22" s="508"/>
      <c r="AB22" s="146" t="str">
        <f>IF(AC20="","",IF(AC20="w",3,IF(AC21="w",2,IF(AC22="w",1,IF(AC23="w",0,0)))))</f>
        <v/>
      </c>
      <c r="AC22" s="724"/>
      <c r="AD22" s="269"/>
      <c r="AE22" s="1212"/>
      <c r="AF22" s="39">
        <v>9</v>
      </c>
      <c r="AG22" s="102">
        <f t="shared" si="53"/>
        <v>1</v>
      </c>
      <c r="AH22" s="517" t="str">
        <f t="shared" si="54"/>
        <v>Daniil Ivanov</v>
      </c>
      <c r="AI22" s="1011"/>
      <c r="AJ22" s="1015" t="str">
        <f t="shared" si="55"/>
        <v/>
      </c>
      <c r="AK22" s="545"/>
      <c r="AL22" s="1198" t="str">
        <f t="shared" si="56"/>
        <v/>
      </c>
      <c r="AM22" s="1198"/>
      <c r="AN22" s="1198"/>
      <c r="AO22" s="1198"/>
      <c r="AP22" s="508"/>
      <c r="AQ22" s="146" t="str">
        <f>IF(AR20="","",IF(AR20="w",3,IF(AR21="w",2,IF(AR22="w",1,IF(AR23="w",0,0)))))</f>
        <v/>
      </c>
      <c r="AR22" s="724"/>
      <c r="AS22" s="268"/>
      <c r="AT22" s="689" t="str">
        <f t="shared" si="57"/>
        <v/>
      </c>
      <c r="AU22" s="65" t="str">
        <f t="shared" si="57"/>
        <v/>
      </c>
      <c r="AV22" s="94" t="str">
        <f t="shared" si="58"/>
        <v>Vitaly Khomitsevich</v>
      </c>
      <c r="AW22" s="3" t="str">
        <f t="shared" si="59"/>
        <v/>
      </c>
      <c r="AX22" s="4" t="str">
        <f t="shared" si="59"/>
        <v/>
      </c>
      <c r="AY22" s="4" t="str">
        <f t="shared" si="59"/>
        <v/>
      </c>
      <c r="AZ22" s="4" t="str">
        <f t="shared" si="59"/>
        <v/>
      </c>
      <c r="BA22" s="26" t="str">
        <f t="shared" si="59"/>
        <v/>
      </c>
      <c r="BB22" s="189">
        <f t="shared" si="59"/>
        <v>0</v>
      </c>
      <c r="BD22" s="192" t="str">
        <f t="shared" si="60"/>
        <v/>
      </c>
      <c r="BE22" s="131" t="str">
        <f t="shared" si="103"/>
        <v/>
      </c>
      <c r="BF22" s="95" t="str">
        <f t="shared" si="103"/>
        <v/>
      </c>
      <c r="BG22"/>
      <c r="BH22" s="390">
        <f t="shared" si="104"/>
        <v>4</v>
      </c>
      <c r="BI22" s="974">
        <v>8</v>
      </c>
      <c r="BK22" s="451">
        <v>6</v>
      </c>
      <c r="BN22" s="8" t="str">
        <f>$M22</f>
        <v/>
      </c>
      <c r="BS22" s="8" t="str">
        <f>$AB22</f>
        <v/>
      </c>
      <c r="BX22" s="8" t="str">
        <f>$AQ22</f>
        <v/>
      </c>
      <c r="BY22" s="8"/>
      <c r="BZ22" s="762">
        <v>11</v>
      </c>
      <c r="CA22" s="762" t="str">
        <f t="shared" si="110"/>
        <v/>
      </c>
      <c r="CB22" s="13">
        <v>3</v>
      </c>
      <c r="CC22" s="1246" t="s">
        <v>101</v>
      </c>
      <c r="CD22" s="1247"/>
      <c r="CE22" s="1247"/>
      <c r="CF22" s="1247"/>
      <c r="CG22" s="1247"/>
      <c r="CH22" s="1247"/>
      <c r="CI22" s="1247"/>
      <c r="CJ22" s="1247"/>
      <c r="CK22" s="1247"/>
      <c r="CL22" s="1247"/>
      <c r="CM22" s="1247"/>
      <c r="CN22" s="1247"/>
      <c r="CO22" s="1247"/>
      <c r="CP22" s="1248"/>
      <c r="CS22" s="262" t="s">
        <v>29</v>
      </c>
      <c r="DM22" s="426" t="s">
        <v>100</v>
      </c>
      <c r="DN22" s="180" t="s">
        <v>30</v>
      </c>
      <c r="FL22" s="716"/>
      <c r="FM22" s="716"/>
      <c r="FN22"/>
      <c r="FQ22" s="290"/>
      <c r="FT22" s="209" t="b">
        <f ca="1">OFFSET($FS$2,MATCH($FS19,$FS$3:$FS$18,0),MATCH($FS20,$FT$2:$GI$2,0))</f>
        <v>0</v>
      </c>
      <c r="FX22"/>
      <c r="FY22"/>
      <c r="FZ22"/>
      <c r="GA22"/>
      <c r="GB22"/>
      <c r="GC22"/>
      <c r="GD22"/>
      <c r="GE22"/>
      <c r="GF22"/>
      <c r="GG22"/>
      <c r="GW22" s="1144"/>
      <c r="GX22" s="230" t="str">
        <f>IF($N$20="","",IF($IW$22=$GX$3,$IX$22,IF(AND($H$22=$GX$3,$L$22&lt;&gt;""),$L$22,IF(AND($H$22=$GX$3,$L$22=""),$M$22,""))))</f>
        <v/>
      </c>
      <c r="GY22" s="301">
        <v>70</v>
      </c>
      <c r="GZ22" s="5" t="str">
        <f t="shared" si="105"/>
        <v/>
      </c>
      <c r="HA22" s="95" t="str">
        <f t="shared" si="62"/>
        <v/>
      </c>
      <c r="HB22" s="5"/>
      <c r="HC22" s="95" t="str">
        <f t="shared" si="106"/>
        <v/>
      </c>
      <c r="HG22" s="1144"/>
      <c r="HH22" s="230" t="str">
        <f>IF($N$20="","",IF($IW$22=$HH$3,$IX$22,IF(AND($H$22=$HH$3,$L$22&lt;&gt;""),$L$22,IF(AND($H$22=$HH$3,$L$22=""),$M$22,""))))</f>
        <v/>
      </c>
      <c r="HI22" s="301">
        <v>70</v>
      </c>
      <c r="HJ22" s="5" t="str">
        <f t="shared" si="107"/>
        <v/>
      </c>
      <c r="HK22" s="95" t="str">
        <f t="shared" si="63"/>
        <v/>
      </c>
      <c r="HL22" s="5"/>
      <c r="HM22" s="95" t="str">
        <f t="shared" si="64"/>
        <v/>
      </c>
      <c r="HN22" s="1148">
        <v>3</v>
      </c>
      <c r="HO22" s="346" t="str">
        <f>IF($H20="",$D20,$H20)</f>
        <v>Dimitry Khomitsevich</v>
      </c>
      <c r="HP22" s="883" t="str">
        <f>M20</f>
        <v/>
      </c>
      <c r="HQ22" s="335" t="str">
        <f>IF($L20="","",$L20)</f>
        <v/>
      </c>
      <c r="HR22" s="335">
        <v>0.04</v>
      </c>
      <c r="HS22" s="456" t="str">
        <f>IF(HQ22&lt;&gt;"",-1,HP22)</f>
        <v/>
      </c>
      <c r="HT22" s="457" t="e">
        <f>RANK(HS22,HS22:HS25)+COUNTIF(HS22:HS22,HS22)-1</f>
        <v>#VALUE!</v>
      </c>
      <c r="HU22" s="335" t="str">
        <f>IF(HQ22="",HO22,HO22&amp;" ("&amp;HQ22&amp;")")</f>
        <v>Dimitry Khomitsevich</v>
      </c>
      <c r="HV22" s="347">
        <v>1</v>
      </c>
      <c r="HW22" s="336" t="str">
        <f>IF(N20="","",VLOOKUP(HV22,HT22:HU25,2,FALSE))</f>
        <v/>
      </c>
      <c r="HX22" s="1148">
        <v>11</v>
      </c>
      <c r="HY22" s="346" t="str">
        <f>IF($W20="",$S20,$W20)</f>
        <v>Gunter Bauer</v>
      </c>
      <c r="HZ22" s="335" t="str">
        <f>AB20</f>
        <v/>
      </c>
      <c r="IA22" s="335" t="str">
        <f>IF($AA20="","",$AA20)</f>
        <v/>
      </c>
      <c r="IB22" s="335">
        <v>0.04</v>
      </c>
      <c r="IC22" s="456" t="str">
        <f>IF(IA22&lt;&gt;"",-1,HZ22)</f>
        <v/>
      </c>
      <c r="ID22" s="457" t="e">
        <f>RANK(IC22,IC22:IC25)+COUNTIF(IC22:IC22,IC22)-1</f>
        <v>#VALUE!</v>
      </c>
      <c r="IE22" s="335" t="str">
        <f>IF(IA22="",HY22,HY22&amp;" ("&amp;IA22&amp;")")</f>
        <v>Gunter Bauer</v>
      </c>
      <c r="IF22" s="350">
        <v>1</v>
      </c>
      <c r="IG22" s="336" t="str">
        <f>IF(AC20="","",VLOOKUP(IF22,ID22:IE25,2,FALSE))</f>
        <v/>
      </c>
      <c r="IH22" s="1148">
        <v>19</v>
      </c>
      <c r="II22" s="346" t="str">
        <f>IF($AL20="",$AH20,$AL20)</f>
        <v>Gunter Bauer</v>
      </c>
      <c r="IJ22" s="335" t="str">
        <f>AQ20</f>
        <v/>
      </c>
      <c r="IK22" s="335" t="str">
        <f>IF($AP20="","",$AP20)</f>
        <v/>
      </c>
      <c r="IL22" s="335">
        <v>0.04</v>
      </c>
      <c r="IM22" s="456" t="str">
        <f t="shared" si="67"/>
        <v/>
      </c>
      <c r="IN22" s="457" t="e">
        <f>RANK(IM22,IM22:IM25)+COUNTIF(IM22:IM22,IM22)-1</f>
        <v>#VALUE!</v>
      </c>
      <c r="IO22" s="335" t="str">
        <f>IF(IK22="",II22,II22&amp;" ("&amp;IK22&amp;")")</f>
        <v>Gunter Bauer</v>
      </c>
      <c r="IP22" s="350">
        <v>1</v>
      </c>
      <c r="IQ22" s="336" t="str">
        <f>IF(AR20="","",VLOOKUP(IP22,IN22:IO25,2,FALSE))</f>
        <v/>
      </c>
      <c r="IU22" s="1112"/>
      <c r="IV22" s="701"/>
      <c r="IW22" s="699" t="str">
        <f t="shared" si="68"/>
        <v/>
      </c>
      <c r="IX22" s="700"/>
      <c r="IZ22" s="1112"/>
      <c r="JA22" s="701"/>
      <c r="JB22" s="699" t="str">
        <f t="shared" si="69"/>
        <v/>
      </c>
      <c r="JC22" s="700"/>
      <c r="JE22" s="1112"/>
      <c r="JF22" s="701"/>
      <c r="JG22" s="699" t="str">
        <f t="shared" si="70"/>
        <v/>
      </c>
      <c r="JH22" s="700"/>
      <c r="JI22" s="687"/>
      <c r="JJ22" s="1335"/>
      <c r="JK22" s="876">
        <v>70</v>
      </c>
      <c r="JL22" s="879" t="str">
        <f t="shared" si="108"/>
        <v/>
      </c>
      <c r="JM22" s="655" t="str">
        <f t="shared" si="71"/>
        <v/>
      </c>
      <c r="JN22" s="869" t="str">
        <f>IF($N$20="","",IF(AND($D$22=JL$11,$F$22&lt;&gt;""),$F$22,IF(AND($D$22=JL$11,$L$22&lt;&gt;""),$L$22,IF($D$22=JL$11,$M$22,""))))</f>
        <v/>
      </c>
      <c r="JO22" s="879" t="str">
        <f t="shared" si="109"/>
        <v/>
      </c>
      <c r="JP22" s="655" t="str">
        <f t="shared" si="72"/>
        <v/>
      </c>
      <c r="JQ22" s="869" t="str">
        <f>IF($N$20="","",IF(AND($D$22=JO$11,$F$22&lt;&gt;""),$F$22,IF(AND($D$22=JO$11,$L$22&lt;&gt;""),$L$22,IF($D$22=JO$11,$M$22,""))))</f>
        <v/>
      </c>
      <c r="JR22" s="879" t="str">
        <f t="shared" si="73"/>
        <v/>
      </c>
      <c r="JS22" s="655" t="str">
        <f t="shared" si="74"/>
        <v/>
      </c>
      <c r="JT22" s="869" t="str">
        <f>IF($N$20="","",IF(AND($D$22=JR$11,$F$22&lt;&gt;""),$F$22,IF(AND($D$22=JR$11,$L$22&lt;&gt;""),$L$22,IF($D$22=JR$11,$M$22,""))))</f>
        <v/>
      </c>
      <c r="JU22" s="879" t="str">
        <f t="shared" si="75"/>
        <v/>
      </c>
      <c r="JV22" s="655" t="str">
        <f t="shared" si="76"/>
        <v/>
      </c>
      <c r="JW22" s="869" t="str">
        <f>IF($N$20="","",IF(AND($D$22=JU$11,$F$22&lt;&gt;""),$F$22,IF(AND($D$22=JU$11,$L$22&lt;&gt;""),$L$22,IF($D$22=JU$11,$M$22,""))))</f>
        <v/>
      </c>
      <c r="JX22" s="879" t="str">
        <f t="shared" si="77"/>
        <v/>
      </c>
      <c r="JY22" s="655" t="str">
        <f t="shared" si="78"/>
        <v/>
      </c>
      <c r="JZ22" s="869" t="str">
        <f>IF($N$20="","",IF(AND($D$22=JX$11,$F$22&lt;&gt;""),$F$22,IF(AND($D$22=JX$11,$L$22&lt;&gt;""),$L$22,IF($D$22=JX$11,$M$22,""))))</f>
        <v/>
      </c>
      <c r="KA22" s="879" t="str">
        <f t="shared" si="79"/>
        <v/>
      </c>
      <c r="KB22" s="655" t="str">
        <f t="shared" si="80"/>
        <v/>
      </c>
      <c r="KC22" s="869" t="str">
        <f>IF($N$20="","",IF(AND($D$22=KA$11,$F$22&lt;&gt;""),$F$22,IF(AND($D$22=KA$11,$L$22&lt;&gt;""),$L$22,IF($D$22=KA$11,$M$22,""))))</f>
        <v/>
      </c>
      <c r="KD22" s="879" t="str">
        <f t="shared" si="81"/>
        <v/>
      </c>
      <c r="KE22" s="655" t="str">
        <f t="shared" si="82"/>
        <v/>
      </c>
      <c r="KF22" s="869" t="str">
        <f>IF($N$20="","",IF(AND($D$22=KD$11,$F$22&lt;&gt;""),$F$22,IF(AND($D$22=KD$11,$L$22&lt;&gt;""),$L$22,IF($D$22=KD$11,$M$22,""))))</f>
        <v/>
      </c>
      <c r="KG22" s="879" t="str">
        <f t="shared" si="83"/>
        <v/>
      </c>
      <c r="KH22" s="655" t="str">
        <f t="shared" si="84"/>
        <v/>
      </c>
      <c r="KI22" s="869" t="str">
        <f>IF($N$20="","",IF(AND($D$22=KG$11,$F$22&lt;&gt;""),$F$22,IF(AND($D$22=KG$11,$L$22&lt;&gt;""),$L$22,IF($D$22=KG$11,$M$22,""))))</f>
        <v/>
      </c>
      <c r="KJ22" s="879" t="str">
        <f t="shared" si="85"/>
        <v/>
      </c>
      <c r="KK22" s="655" t="str">
        <f t="shared" si="86"/>
        <v/>
      </c>
      <c r="KL22" s="869" t="str">
        <f>IF($N$20="","",IF(AND($D$22=KJ$11,$F$22&lt;&gt;""),$F$22,IF(AND($D$22=KJ$11,$L$22&lt;&gt;""),$L$22,IF($D$22=KJ$11,$M$22,""))))</f>
        <v/>
      </c>
      <c r="KM22" s="879" t="str">
        <f t="shared" si="87"/>
        <v/>
      </c>
      <c r="KN22" s="655" t="str">
        <f t="shared" si="88"/>
        <v/>
      </c>
      <c r="KO22" s="869" t="str">
        <f>IF($N$20="","",IF(AND($D$22=KM$11,$F$22&lt;&gt;""),$F$22,IF(AND($D$22=KM$11,$L$22&lt;&gt;""),$L$22,IF($D$22=KM$11,$M$22,""))))</f>
        <v/>
      </c>
      <c r="KP22" s="879" t="str">
        <f t="shared" si="89"/>
        <v/>
      </c>
      <c r="KQ22" s="655" t="str">
        <f t="shared" si="90"/>
        <v/>
      </c>
      <c r="KR22" s="869" t="str">
        <f>IF($N$20="","",IF(AND($D$22=KP$11,$F$22&lt;&gt;""),$F$22,IF(AND($D$22=KP$11,$L$22&lt;&gt;""),$L$22,IF($D$22=KP$11,$M$22,""))))</f>
        <v/>
      </c>
      <c r="KS22" s="879" t="str">
        <f t="shared" si="91"/>
        <v/>
      </c>
      <c r="KT22" s="655" t="str">
        <f t="shared" si="92"/>
        <v/>
      </c>
      <c r="KU22" s="869" t="str">
        <f>IF($N$20="","",IF(AND($D$22=KS$11,$F$22&lt;&gt;""),$F$22,IF(AND($D$22=KS$11,$L$22&lt;&gt;""),$L$22,IF($D$22=KS$11,$M$22,""))))</f>
        <v/>
      </c>
      <c r="KV22" s="879" t="str">
        <f t="shared" si="93"/>
        <v/>
      </c>
      <c r="KW22" s="655" t="str">
        <f t="shared" si="94"/>
        <v/>
      </c>
      <c r="KX22" s="869" t="str">
        <f>IF($N$20="","",IF(AND($D$22=KV$11,$F$22&lt;&gt;""),$F$22,IF(AND($D$22=KV$11,$L$22&lt;&gt;""),$L$22,IF($D$22=KV$11,$M$22,""))))</f>
        <v/>
      </c>
      <c r="KY22" s="879" t="str">
        <f t="shared" si="95"/>
        <v/>
      </c>
      <c r="KZ22" s="655" t="str">
        <f t="shared" si="96"/>
        <v/>
      </c>
      <c r="LA22" s="869" t="str">
        <f>IF($N$20="","",IF(AND($D$22=KY$11,$F$22&lt;&gt;""),$F$22,IF(AND($D$22=KY$11,$L$22&lt;&gt;""),$L$22,IF($D$22=KY$11,$M$22,""))))</f>
        <v/>
      </c>
      <c r="LB22" s="879" t="str">
        <f t="shared" si="97"/>
        <v/>
      </c>
      <c r="LC22" s="655" t="str">
        <f t="shared" si="98"/>
        <v/>
      </c>
      <c r="LD22" s="869" t="str">
        <f>IF($N$20="","",IF(AND($D$22=LB$11,$F$22&lt;&gt;""),$F$22,IF(AND($D$22=LB$11,$L$22&lt;&gt;""),$L$22,IF($D$22=LB$11,$M$22,""))))</f>
        <v/>
      </c>
      <c r="LE22" s="879" t="str">
        <f t="shared" si="99"/>
        <v/>
      </c>
      <c r="LF22" s="655" t="str">
        <f t="shared" si="100"/>
        <v/>
      </c>
      <c r="LG22" s="869" t="str">
        <f>IF($N$20="","",IF(AND($D$22=LE$11,$F$22&lt;&gt;""),$F$22,IF(AND($D$22=LE$11,$L$22&lt;&gt;""),$L$22,IF($D$22=LE$11,$M$22,""))))</f>
        <v/>
      </c>
      <c r="LH22"/>
      <c r="LI22"/>
      <c r="LJ22"/>
      <c r="LK22"/>
      <c r="LL22"/>
      <c r="LM22"/>
    </row>
    <row r="23" spans="1:325" ht="12.75" customHeight="1" thickBot="1">
      <c r="A23" s="918"/>
      <c r="B23" s="331">
        <v>13</v>
      </c>
      <c r="C23" s="103">
        <f t="shared" si="101"/>
        <v>19</v>
      </c>
      <c r="D23" s="519" t="str">
        <f t="shared" si="102"/>
        <v>Daniel Henderson</v>
      </c>
      <c r="E23" s="1013"/>
      <c r="F23" s="1017" t="str">
        <f t="shared" si="47"/>
        <v/>
      </c>
      <c r="G23" s="547"/>
      <c r="H23" s="1197" t="str">
        <f t="shared" si="48"/>
        <v/>
      </c>
      <c r="I23" s="1197"/>
      <c r="J23" s="1197"/>
      <c r="K23" s="1197"/>
      <c r="L23" s="511"/>
      <c r="M23" s="149" t="str">
        <f>IF(N20="","",IF(N20="y",3,IF(N21="y",2,IF(N22="y",1,IF(N23="y",0,0)))))</f>
        <v/>
      </c>
      <c r="N23" s="708"/>
      <c r="O23" s="268"/>
      <c r="P23" s="918"/>
      <c r="Q23" s="331">
        <v>7</v>
      </c>
      <c r="R23" s="103">
        <f t="shared" si="49"/>
        <v>4</v>
      </c>
      <c r="S23" s="519" t="str">
        <f t="shared" si="50"/>
        <v>Igor Kononov</v>
      </c>
      <c r="T23" s="1012"/>
      <c r="U23" s="1016" t="str">
        <f t="shared" si="51"/>
        <v/>
      </c>
      <c r="V23" s="546"/>
      <c r="W23" s="1197" t="str">
        <f t="shared" si="52"/>
        <v/>
      </c>
      <c r="X23" s="1197"/>
      <c r="Y23" s="1197"/>
      <c r="Z23" s="1197"/>
      <c r="AA23" s="511"/>
      <c r="AB23" s="149" t="str">
        <f>IF(AC20="","",IF(AC20="y",3,IF(AC21="y",2,IF(AC22="y",1,IF(AC23="y",0,0)))))</f>
        <v/>
      </c>
      <c r="AC23" s="725"/>
      <c r="AD23" s="269"/>
      <c r="AE23" s="918"/>
      <c r="AF23" s="331">
        <v>16</v>
      </c>
      <c r="AG23" s="103">
        <f t="shared" si="53"/>
        <v>5</v>
      </c>
      <c r="AH23" s="519" t="str">
        <f t="shared" si="54"/>
        <v>Stefan Svensson</v>
      </c>
      <c r="AI23" s="1012"/>
      <c r="AJ23" s="1016" t="str">
        <f t="shared" si="55"/>
        <v/>
      </c>
      <c r="AK23" s="546"/>
      <c r="AL23" s="1197" t="str">
        <f t="shared" si="56"/>
        <v/>
      </c>
      <c r="AM23" s="1197"/>
      <c r="AN23" s="1197"/>
      <c r="AO23" s="1197"/>
      <c r="AP23" s="511"/>
      <c r="AQ23" s="149" t="str">
        <f>IF(AR20="","",IF(AR20="y",3,IF(AR21="y",2,IF(AR22="y",1,IF(AR23="y",0,0)))))</f>
        <v/>
      </c>
      <c r="AR23" s="725"/>
      <c r="AS23" s="268"/>
      <c r="AT23" s="689" t="str">
        <f t="shared" si="57"/>
        <v/>
      </c>
      <c r="AU23" s="65" t="str">
        <f t="shared" si="57"/>
        <v/>
      </c>
      <c r="AV23" s="94" t="str">
        <f t="shared" si="58"/>
        <v>Hans Weber</v>
      </c>
      <c r="AW23" s="3" t="str">
        <f t="shared" si="59"/>
        <v/>
      </c>
      <c r="AX23" s="4" t="str">
        <f t="shared" si="59"/>
        <v/>
      </c>
      <c r="AY23" s="4" t="str">
        <f t="shared" si="59"/>
        <v/>
      </c>
      <c r="AZ23" s="4" t="str">
        <f t="shared" si="59"/>
        <v/>
      </c>
      <c r="BA23" s="26" t="str">
        <f t="shared" si="59"/>
        <v/>
      </c>
      <c r="BB23" s="189">
        <f t="shared" si="59"/>
        <v>0</v>
      </c>
      <c r="BD23" s="192" t="str">
        <f t="shared" si="60"/>
        <v/>
      </c>
      <c r="BE23" s="131" t="str">
        <f t="shared" si="103"/>
        <v/>
      </c>
      <c r="BF23" s="95" t="str">
        <f t="shared" si="103"/>
        <v/>
      </c>
      <c r="BG23"/>
      <c r="BH23" s="390">
        <f t="shared" si="104"/>
        <v>4</v>
      </c>
      <c r="BI23" s="974">
        <v>7</v>
      </c>
      <c r="BK23" s="451">
        <v>5</v>
      </c>
      <c r="BO23" s="8" t="str">
        <f>$M23</f>
        <v/>
      </c>
      <c r="BT23" s="8" t="str">
        <f>$AB23</f>
        <v/>
      </c>
      <c r="BY23" s="8" t="str">
        <f>$AQ23</f>
        <v/>
      </c>
      <c r="BZ23" s="762">
        <v>12</v>
      </c>
      <c r="CA23" s="762" t="str">
        <f t="shared" si="110"/>
        <v/>
      </c>
      <c r="CB23" s="13">
        <v>4</v>
      </c>
      <c r="FL23" s="716"/>
      <c r="FM23" s="716"/>
      <c r="FN23"/>
      <c r="FQ23" s="290"/>
      <c r="FS23" s="1030" t="s">
        <v>196</v>
      </c>
      <c r="FT23" s="1031"/>
      <c r="FU23" s="1031"/>
      <c r="FV23" s="1031"/>
      <c r="FW23" s="1031"/>
      <c r="FX23" s="1190"/>
      <c r="FY23" s="1190"/>
      <c r="FZ23" s="1190"/>
      <c r="GA23" s="1190"/>
      <c r="GB23" s="1190"/>
      <c r="GC23" s="1190"/>
      <c r="GD23" s="1190"/>
      <c r="GE23" s="1190"/>
      <c r="GF23" s="1190"/>
      <c r="GG23" s="1190"/>
      <c r="GH23" s="1190"/>
      <c r="GI23" s="1191"/>
      <c r="GW23" s="1145"/>
      <c r="GX23" s="231" t="str">
        <f>IF($N$20="","",IF($IW$23=$GX$3,$IX$23,IF(AND($H$23=$GX$3,$L$23&lt;&gt;""),$L$23,IF(AND($H$23=$GX$3,$L$23=""),$M$23,""))))</f>
        <v/>
      </c>
      <c r="GY23" s="302">
        <v>69</v>
      </c>
      <c r="GZ23" s="303" t="str">
        <f t="shared" si="105"/>
        <v/>
      </c>
      <c r="HA23" s="98" t="str">
        <f t="shared" si="62"/>
        <v/>
      </c>
      <c r="HB23" s="303"/>
      <c r="HC23" s="98" t="str">
        <f t="shared" si="106"/>
        <v/>
      </c>
      <c r="HG23" s="1145"/>
      <c r="HH23" s="231" t="str">
        <f>IF($N$20="","",IF($IW$23=$HH$3,$IX$23,IF(AND($H$23=$HH$3,$L$23&lt;&gt;""),$L$23,IF(AND($H$23=$HH$3,$L$23=""),$M$23,""))))</f>
        <v/>
      </c>
      <c r="HI23" s="302">
        <v>69</v>
      </c>
      <c r="HJ23" s="303" t="str">
        <f t="shared" si="107"/>
        <v/>
      </c>
      <c r="HK23" s="98" t="str">
        <f t="shared" si="63"/>
        <v/>
      </c>
      <c r="HL23" s="303"/>
      <c r="HM23" s="98" t="str">
        <f t="shared" si="64"/>
        <v/>
      </c>
      <c r="HN23" s="1149"/>
      <c r="HO23" s="131" t="str">
        <f>IF($H21="",$D21,$H21)</f>
        <v>Per-Anders Lindstrom</v>
      </c>
      <c r="HP23" s="884" t="str">
        <f>M21</f>
        <v/>
      </c>
      <c r="HQ23" s="327" t="str">
        <f>IF($L21="","",$L21)</f>
        <v/>
      </c>
      <c r="HR23" s="327">
        <v>0.03</v>
      </c>
      <c r="HS23" s="458" t="str">
        <f>IF(HQ23&lt;&gt;"",-1,HP23)</f>
        <v/>
      </c>
      <c r="HT23" s="327" t="e">
        <f>RANK(HS23,HS22:HS25)+COUNTIF(HS22:HS23,HS23)-1</f>
        <v>#VALUE!</v>
      </c>
      <c r="HU23" s="327" t="str">
        <f>IF(HQ23="",HO23,HO23&amp;" ("&amp;HQ23&amp;")")</f>
        <v>Per-Anders Lindstrom</v>
      </c>
      <c r="HV23" s="328">
        <v>2</v>
      </c>
      <c r="HW23" s="337" t="str">
        <f>IF(N20="","",VLOOKUP(HV23,HT22:HU25,2,FALSE))</f>
        <v/>
      </c>
      <c r="HX23" s="1149"/>
      <c r="HY23" s="131" t="str">
        <f>IF($W21="",$S21,$W21)</f>
        <v>Stefan Pletschacher</v>
      </c>
      <c r="HZ23" s="327" t="str">
        <f>AB21</f>
        <v/>
      </c>
      <c r="IA23" s="327" t="str">
        <f>IF($AA21="","",$AA21)</f>
        <v/>
      </c>
      <c r="IB23" s="327">
        <v>0.03</v>
      </c>
      <c r="IC23" s="458" t="str">
        <f>IF(IA23&lt;&gt;"",-1,HZ23)</f>
        <v/>
      </c>
      <c r="ID23" s="327" t="e">
        <f>RANK(IC23,IC22:IC25)+COUNTIF(IC22:IC23,IC23)-1</f>
        <v>#VALUE!</v>
      </c>
      <c r="IE23" s="327" t="str">
        <f>IF(IA23="",HY23,HY23&amp;" ("&amp;IA23&amp;")")</f>
        <v>Stefan Pletschacher</v>
      </c>
      <c r="IF23" s="344">
        <v>2</v>
      </c>
      <c r="IG23" s="337" t="str">
        <f>IF(AC20="","",VLOOKUP(IF23,ID22:IE25,2,FALSE))</f>
        <v/>
      </c>
      <c r="IH23" s="1149"/>
      <c r="II23" s="131" t="str">
        <f>IF($AL21="",$AH21,$AL21)</f>
        <v>Daniel Henderson</v>
      </c>
      <c r="IJ23" s="327" t="str">
        <f>AQ21</f>
        <v/>
      </c>
      <c r="IK23" s="327" t="str">
        <f>IF($AP21="","",$AP21)</f>
        <v/>
      </c>
      <c r="IL23" s="327">
        <v>0.03</v>
      </c>
      <c r="IM23" s="458" t="str">
        <f t="shared" si="67"/>
        <v/>
      </c>
      <c r="IN23" s="327" t="e">
        <f>RANK(IM23,IM22:IM25)+COUNTIF(IM22:IM23,IM23)-1</f>
        <v>#VALUE!</v>
      </c>
      <c r="IO23" s="327" t="str">
        <f>IF(IK23="",II23,II23&amp;" ("&amp;IK23&amp;")")</f>
        <v>Daniel Henderson</v>
      </c>
      <c r="IP23" s="344">
        <v>2</v>
      </c>
      <c r="IQ23" s="337" t="str">
        <f>IF(AR20="","",VLOOKUP(IP23,IN22:IO25,2,FALSE))</f>
        <v/>
      </c>
      <c r="IU23" s="1113"/>
      <c r="IV23" s="702"/>
      <c r="IW23" s="703" t="str">
        <f t="shared" si="68"/>
        <v/>
      </c>
      <c r="IX23" s="704"/>
      <c r="IZ23" s="1113"/>
      <c r="JA23" s="702"/>
      <c r="JB23" s="703" t="str">
        <f t="shared" si="69"/>
        <v/>
      </c>
      <c r="JC23" s="704"/>
      <c r="JE23" s="1113"/>
      <c r="JF23" s="702"/>
      <c r="JG23" s="703" t="str">
        <f t="shared" si="70"/>
        <v/>
      </c>
      <c r="JH23" s="704"/>
      <c r="JI23" s="687"/>
      <c r="JJ23" s="1336"/>
      <c r="JK23" s="877">
        <v>69</v>
      </c>
      <c r="JL23" s="880" t="str">
        <f t="shared" si="108"/>
        <v/>
      </c>
      <c r="JM23" s="874" t="str">
        <f t="shared" si="71"/>
        <v/>
      </c>
      <c r="JN23" s="870" t="str">
        <f>IF($N$20="","",IF(AND($D$23=JL$11,$F$23&lt;&gt;""),$F$23,IF(AND($D$23=JL$11,$L$23&lt;&gt;""),$L$23,IF($D$23=JL$11,$M$23,""))))</f>
        <v/>
      </c>
      <c r="JO23" s="880" t="str">
        <f t="shared" si="109"/>
        <v/>
      </c>
      <c r="JP23" s="874" t="str">
        <f t="shared" si="72"/>
        <v/>
      </c>
      <c r="JQ23" s="870" t="str">
        <f>IF($N$20="","",IF(AND($D$23=JO$11,$F$23&lt;&gt;""),$F$23,IF(AND($D$23=JO$11,$L$23&lt;&gt;""),$L$23,IF($D$23=JO$11,$M$23,""))))</f>
        <v/>
      </c>
      <c r="JR23" s="880" t="str">
        <f t="shared" si="73"/>
        <v/>
      </c>
      <c r="JS23" s="874" t="str">
        <f t="shared" si="74"/>
        <v/>
      </c>
      <c r="JT23" s="870" t="str">
        <f>IF($N$20="","",IF(AND($D$23=JR$11,$F$23&lt;&gt;""),$F$23,IF(AND($D$23=JR$11,$L$23&lt;&gt;""),$L$23,IF($D$23=JR$11,$M$23,""))))</f>
        <v/>
      </c>
      <c r="JU23" s="880" t="str">
        <f t="shared" si="75"/>
        <v/>
      </c>
      <c r="JV23" s="874" t="str">
        <f t="shared" si="76"/>
        <v/>
      </c>
      <c r="JW23" s="870" t="str">
        <f>IF($N$20="","",IF(AND($D$23=JU$11,$F$23&lt;&gt;""),$F$23,IF(AND($D$23=JU$11,$L$23&lt;&gt;""),$L$23,IF($D$23=JU$11,$M$23,""))))</f>
        <v/>
      </c>
      <c r="JX23" s="880" t="str">
        <f t="shared" si="77"/>
        <v/>
      </c>
      <c r="JY23" s="874" t="str">
        <f t="shared" si="78"/>
        <v/>
      </c>
      <c r="JZ23" s="870" t="str">
        <f>IF($N$20="","",IF(AND($D$23=JX$11,$F$23&lt;&gt;""),$F$23,IF(AND($D$23=JX$11,$L$23&lt;&gt;""),$L$23,IF($D$23=JX$11,$M$23,""))))</f>
        <v/>
      </c>
      <c r="KA23" s="880" t="str">
        <f t="shared" si="79"/>
        <v/>
      </c>
      <c r="KB23" s="874" t="str">
        <f t="shared" si="80"/>
        <v/>
      </c>
      <c r="KC23" s="870" t="str">
        <f>IF($N$20="","",IF(AND($D$23=KA$11,$F$23&lt;&gt;""),$F$23,IF(AND($D$23=KA$11,$L$23&lt;&gt;""),$L$23,IF($D$23=KA$11,$M$23,""))))</f>
        <v/>
      </c>
      <c r="KD23" s="880" t="str">
        <f t="shared" si="81"/>
        <v/>
      </c>
      <c r="KE23" s="874" t="str">
        <f t="shared" si="82"/>
        <v/>
      </c>
      <c r="KF23" s="870" t="str">
        <f>IF($N$20="","",IF(AND($D$23=KD$11,$F$23&lt;&gt;""),$F$23,IF(AND($D$23=KD$11,$L$23&lt;&gt;""),$L$23,IF($D$23=KD$11,$M$23,""))))</f>
        <v/>
      </c>
      <c r="KG23" s="880" t="str">
        <f t="shared" si="83"/>
        <v/>
      </c>
      <c r="KH23" s="874" t="str">
        <f t="shared" si="84"/>
        <v/>
      </c>
      <c r="KI23" s="870" t="str">
        <f>IF($N$20="","",IF(AND($D$23=KG$11,$F$23&lt;&gt;""),$F$23,IF(AND($D$23=KG$11,$L$23&lt;&gt;""),$L$23,IF($D$23=KG$11,$M$23,""))))</f>
        <v/>
      </c>
      <c r="KJ23" s="880" t="str">
        <f t="shared" si="85"/>
        <v/>
      </c>
      <c r="KK23" s="874" t="str">
        <f t="shared" si="86"/>
        <v/>
      </c>
      <c r="KL23" s="870" t="str">
        <f>IF($N$20="","",IF(AND($D$23=KJ$11,$F$23&lt;&gt;""),$F$23,IF(AND($D$23=KJ$11,$L$23&lt;&gt;""),$L$23,IF($D$23=KJ$11,$M$23,""))))</f>
        <v/>
      </c>
      <c r="KM23" s="880" t="str">
        <f t="shared" si="87"/>
        <v/>
      </c>
      <c r="KN23" s="874" t="str">
        <f t="shared" si="88"/>
        <v/>
      </c>
      <c r="KO23" s="870" t="str">
        <f>IF($N$20="","",IF(AND($D$23=KM$11,$F$23&lt;&gt;""),$F$23,IF(AND($D$23=KM$11,$L$23&lt;&gt;""),$L$23,IF($D$23=KM$11,$M$23,""))))</f>
        <v/>
      </c>
      <c r="KP23" s="880" t="str">
        <f t="shared" si="89"/>
        <v/>
      </c>
      <c r="KQ23" s="874" t="str">
        <f t="shared" si="90"/>
        <v/>
      </c>
      <c r="KR23" s="870" t="str">
        <f>IF($N$20="","",IF(AND($D$23=KP$11,$F$23&lt;&gt;""),$F$23,IF(AND($D$23=KP$11,$L$23&lt;&gt;""),$L$23,IF($D$23=KP$11,$M$23,""))))</f>
        <v/>
      </c>
      <c r="KS23" s="880" t="str">
        <f t="shared" si="91"/>
        <v/>
      </c>
      <c r="KT23" s="874" t="str">
        <f t="shared" si="92"/>
        <v/>
      </c>
      <c r="KU23" s="870" t="str">
        <f>IF($N$20="","",IF(AND($D$23=KS$11,$F$23&lt;&gt;""),$F$23,IF(AND($D$23=KS$11,$L$23&lt;&gt;""),$L$23,IF($D$23=KS$11,$M$23,""))))</f>
        <v/>
      </c>
      <c r="KV23" s="880" t="str">
        <f t="shared" si="93"/>
        <v/>
      </c>
      <c r="KW23" s="874" t="str">
        <f t="shared" si="94"/>
        <v/>
      </c>
      <c r="KX23" s="870" t="str">
        <f>IF($N$20="","",IF(AND($D$23=KV$11,$F$23&lt;&gt;""),$F$23,IF(AND($D$23=KV$11,$L$23&lt;&gt;""),$L$23,IF($D$23=KV$11,$M$23,""))))</f>
        <v/>
      </c>
      <c r="KY23" s="880" t="str">
        <f t="shared" si="95"/>
        <v/>
      </c>
      <c r="KZ23" s="874" t="str">
        <f t="shared" si="96"/>
        <v/>
      </c>
      <c r="LA23" s="870" t="str">
        <f>IF($N$20="","",IF(AND($D$23=KY$11,$F$23&lt;&gt;""),$F$23,IF(AND($D$23=KY$11,$L$23&lt;&gt;""),$L$23,IF($D$23=KY$11,$M$23,""))))</f>
        <v/>
      </c>
      <c r="LB23" s="880" t="str">
        <f t="shared" si="97"/>
        <v/>
      </c>
      <c r="LC23" s="874" t="str">
        <f t="shared" si="98"/>
        <v/>
      </c>
      <c r="LD23" s="870" t="str">
        <f>IF($N$20="","",IF(AND($D$23=LB$11,$F$23&lt;&gt;""),$F$23,IF(AND($D$23=LB$11,$L$23&lt;&gt;""),$L$23,IF($D$23=LB$11,$M$23,""))))</f>
        <v/>
      </c>
      <c r="LE23" s="880" t="str">
        <f t="shared" si="99"/>
        <v/>
      </c>
      <c r="LF23" s="874" t="str">
        <f t="shared" si="100"/>
        <v/>
      </c>
      <c r="LG23" s="870" t="str">
        <f>IF($N$20="","",IF(AND($D$23=LE$11,$F$23&lt;&gt;""),$F$23,IF(AND($D$23=LE$11,$L$23&lt;&gt;""),$L$23,IF($D$23=LE$11,$M$23,""))))</f>
        <v/>
      </c>
      <c r="LH23"/>
      <c r="LI23"/>
      <c r="LJ23"/>
      <c r="LK23"/>
      <c r="LL23"/>
      <c r="LM23"/>
    </row>
    <row r="24" spans="1:325" ht="12.75" customHeight="1" thickBot="1">
      <c r="A24" s="1211">
        <v>4</v>
      </c>
      <c r="B24" s="332">
        <v>5</v>
      </c>
      <c r="C24" s="100">
        <f t="shared" si="101"/>
        <v>14</v>
      </c>
      <c r="D24" s="517" t="str">
        <f t="shared" si="102"/>
        <v>Antonin Klatovsky</v>
      </c>
      <c r="E24" s="1011"/>
      <c r="F24" s="1015" t="str">
        <f t="shared" si="47"/>
        <v/>
      </c>
      <c r="G24" s="545"/>
      <c r="H24" s="1210" t="str">
        <f t="shared" si="48"/>
        <v/>
      </c>
      <c r="I24" s="1210"/>
      <c r="J24" s="1210"/>
      <c r="K24" s="1210"/>
      <c r="L24" s="507"/>
      <c r="M24" s="93" t="str">
        <f>IF(N24="","",IF(N24="R",3,IF(N25="R",2,IF(N26="R",1,IF(N27="R",0,0)))))</f>
        <v/>
      </c>
      <c r="N24" s="706"/>
      <c r="O24" s="268"/>
      <c r="P24" s="1211">
        <v>12</v>
      </c>
      <c r="Q24" s="332">
        <v>12</v>
      </c>
      <c r="R24" s="100">
        <f t="shared" si="49"/>
        <v>11</v>
      </c>
      <c r="S24" s="517" t="str">
        <f t="shared" si="50"/>
        <v>Vitaly Khomitsevich</v>
      </c>
      <c r="T24" s="1010"/>
      <c r="U24" s="1014" t="str">
        <f t="shared" si="51"/>
        <v/>
      </c>
      <c r="V24" s="544"/>
      <c r="W24" s="1210" t="str">
        <f t="shared" si="52"/>
        <v/>
      </c>
      <c r="X24" s="1210"/>
      <c r="Y24" s="1210"/>
      <c r="Z24" s="1210"/>
      <c r="AA24" s="507"/>
      <c r="AB24" s="93" t="str">
        <f>IF(AC24="","",IF(AC24="R",3,IF(AC25="R",2,IF(AC26="R",1,IF(AC27="R",0,0)))))</f>
        <v/>
      </c>
      <c r="AC24" s="723"/>
      <c r="AD24" s="269"/>
      <c r="AE24" s="1211">
        <v>20</v>
      </c>
      <c r="AF24" s="329">
        <v>15</v>
      </c>
      <c r="AG24" s="106">
        <f t="shared" si="53"/>
        <v>2</v>
      </c>
      <c r="AH24" s="516" t="str">
        <f t="shared" si="54"/>
        <v>Dimitry Koltakov</v>
      </c>
      <c r="AI24" s="1010"/>
      <c r="AJ24" s="1014" t="str">
        <f t="shared" si="55"/>
        <v/>
      </c>
      <c r="AK24" s="544"/>
      <c r="AL24" s="1210" t="str">
        <f t="shared" si="56"/>
        <v/>
      </c>
      <c r="AM24" s="1210"/>
      <c r="AN24" s="1210"/>
      <c r="AO24" s="1210"/>
      <c r="AP24" s="510"/>
      <c r="AQ24" s="93" t="str">
        <f>IF(AR24="","",IF(AR24="R",3,IF(AR25="R",2,IF(AR26="R",1,IF(AR27="R",0,0)))))</f>
        <v/>
      </c>
      <c r="AR24" s="723"/>
      <c r="AS24" s="268"/>
      <c r="AT24" s="689" t="str">
        <f t="shared" si="57"/>
        <v/>
      </c>
      <c r="AU24" s="65" t="str">
        <f t="shared" si="57"/>
        <v/>
      </c>
      <c r="AV24" s="94" t="str">
        <f t="shared" si="58"/>
        <v>Antonin Klatovsky</v>
      </c>
      <c r="AW24" s="3" t="str">
        <f t="shared" si="59"/>
        <v/>
      </c>
      <c r="AX24" s="4" t="str">
        <f t="shared" si="59"/>
        <v/>
      </c>
      <c r="AY24" s="4" t="str">
        <f t="shared" si="59"/>
        <v/>
      </c>
      <c r="AZ24" s="4" t="str">
        <f t="shared" si="59"/>
        <v/>
      </c>
      <c r="BA24" s="26" t="str">
        <f t="shared" si="59"/>
        <v/>
      </c>
      <c r="BB24" s="189">
        <f t="shared" si="59"/>
        <v>0</v>
      </c>
      <c r="BD24" s="192" t="str">
        <f t="shared" si="60"/>
        <v/>
      </c>
      <c r="BE24" s="131" t="str">
        <f t="shared" si="103"/>
        <v/>
      </c>
      <c r="BF24" s="95" t="str">
        <f t="shared" si="103"/>
        <v/>
      </c>
      <c r="BG24"/>
      <c r="BH24" s="390">
        <f t="shared" si="104"/>
        <v>4</v>
      </c>
      <c r="BI24" s="974">
        <v>6</v>
      </c>
      <c r="BK24" s="451">
        <v>4</v>
      </c>
      <c r="BL24" s="8" t="str">
        <f>$M24</f>
        <v/>
      </c>
      <c r="BQ24" s="8" t="str">
        <f>$AB24</f>
        <v/>
      </c>
      <c r="BV24" s="8" t="str">
        <f>$AQ24</f>
        <v/>
      </c>
      <c r="BY24" s="8"/>
      <c r="BZ24" s="762">
        <v>13</v>
      </c>
      <c r="CA24" s="762" t="str">
        <f t="shared" si="110"/>
        <v/>
      </c>
      <c r="CB24" s="13">
        <v>1</v>
      </c>
      <c r="DR24" s="1227" t="s">
        <v>199</v>
      </c>
      <c r="DS24" s="1227"/>
      <c r="DT24" s="1227"/>
      <c r="DU24" s="1227"/>
      <c r="DV24" s="1227"/>
      <c r="DW24" s="1227"/>
      <c r="DX24" s="1227"/>
      <c r="DY24" s="1227"/>
      <c r="DZ24" s="1227"/>
      <c r="EA24" s="1227"/>
      <c r="EB24" s="1227"/>
      <c r="EC24" s="1227"/>
      <c r="ED24" s="1227"/>
      <c r="EE24" s="1227"/>
      <c r="EF24" s="1227"/>
      <c r="EG24" s="1227"/>
      <c r="EH24" s="1227"/>
      <c r="EI24" s="1227"/>
      <c r="EJ24" s="1227"/>
      <c r="EK24" s="1227"/>
      <c r="EL24" s="1227"/>
      <c r="EM24" s="1227"/>
      <c r="EN24" s="1227"/>
      <c r="EO24" s="1227"/>
      <c r="EP24" s="1227"/>
      <c r="EQ24" s="1227"/>
      <c r="ER24" s="1227"/>
      <c r="ES24" s="1227"/>
      <c r="ET24" s="1227"/>
      <c r="EU24" s="1227"/>
      <c r="EV24" s="1227"/>
      <c r="EW24" s="1227"/>
      <c r="EX24" s="1227"/>
      <c r="EY24" s="1227"/>
      <c r="FG24"/>
      <c r="FH24"/>
      <c r="FI24"/>
      <c r="FL24" s="716"/>
      <c r="FM24" s="716"/>
      <c r="FN24"/>
      <c r="FO24"/>
      <c r="FP24"/>
      <c r="FQ24"/>
      <c r="FR24"/>
      <c r="GK24" s="1227" t="s">
        <v>210</v>
      </c>
      <c r="GL24" s="1227"/>
      <c r="GM24" s="1227"/>
      <c r="GN24" s="1227"/>
      <c r="GO24" s="1227"/>
      <c r="GP24" s="1227"/>
      <c r="GW24" s="1143">
        <v>4</v>
      </c>
      <c r="GX24" s="229" t="str">
        <f>IF($N$24="","",IF($IW$24=$GX$3,$IX$24,IF(AND($H$24=$GX$3,$L$24&lt;&gt;""),$L$24,IF(AND($H$24=$GX$3,$L$24=""),$M$24,""))))</f>
        <v/>
      </c>
      <c r="GY24" s="299">
        <v>68</v>
      </c>
      <c r="GZ24" s="300" t="str">
        <f t="shared" si="105"/>
        <v/>
      </c>
      <c r="HA24" s="93" t="str">
        <f t="shared" si="62"/>
        <v/>
      </c>
      <c r="HB24" s="300"/>
      <c r="HC24" s="93" t="str">
        <f t="shared" si="106"/>
        <v/>
      </c>
      <c r="HG24" s="1143">
        <v>4</v>
      </c>
      <c r="HH24" s="229" t="str">
        <f>IF($N$24="","",IF($IW$24=$HH$3,$IX$24,IF(AND($H$24=$HH$3,$L$24&lt;&gt;""),$L$24,IF(AND($H$24=$HH$3,$L$24=""),$M$24,""))))</f>
        <v/>
      </c>
      <c r="HI24" s="299">
        <v>68</v>
      </c>
      <c r="HJ24" s="300" t="str">
        <f t="shared" si="107"/>
        <v/>
      </c>
      <c r="HK24" s="93" t="str">
        <f t="shared" si="63"/>
        <v/>
      </c>
      <c r="HL24" s="300"/>
      <c r="HM24" s="93" t="str">
        <f t="shared" si="64"/>
        <v/>
      </c>
      <c r="HN24" s="1149"/>
      <c r="HO24" s="131" t="str">
        <f>IF($H22="",$D22,$H22)</f>
        <v>Stefan Pletschacher</v>
      </c>
      <c r="HP24" s="884" t="str">
        <f>M22</f>
        <v/>
      </c>
      <c r="HQ24" s="327" t="str">
        <f>IF($L22="","",$L22)</f>
        <v/>
      </c>
      <c r="HR24" s="327">
        <v>0.02</v>
      </c>
      <c r="HS24" s="458" t="str">
        <f>IF(HQ24&lt;&gt;"",-1,HP24)</f>
        <v/>
      </c>
      <c r="HT24" s="327" t="e">
        <f>RANK(HS24,HS22:HS25)+COUNTIF(HS22:HS24,HS24)-1</f>
        <v>#VALUE!</v>
      </c>
      <c r="HU24" s="327" t="str">
        <f>IF(HQ24="",HO24,HO24&amp;" ("&amp;HQ24&amp;")")</f>
        <v>Stefan Pletschacher</v>
      </c>
      <c r="HV24" s="328">
        <v>3</v>
      </c>
      <c r="HW24" s="337" t="str">
        <f>IF(N20="","",VLOOKUP(HV24,HT22:HU25,2,FALSE))</f>
        <v/>
      </c>
      <c r="HX24" s="1149"/>
      <c r="HY24" s="131" t="str">
        <f>IF($W22="",$S22,$W22)</f>
        <v>Dimitry Koltakov</v>
      </c>
      <c r="HZ24" s="327" t="str">
        <f>AB22</f>
        <v/>
      </c>
      <c r="IA24" s="327" t="str">
        <f>IF($AA22="","",$AA22)</f>
        <v/>
      </c>
      <c r="IB24" s="327">
        <v>0.02</v>
      </c>
      <c r="IC24" s="458" t="str">
        <f>IF(IA24&lt;&gt;"",-1,HZ24)</f>
        <v/>
      </c>
      <c r="ID24" s="327" t="e">
        <f>RANK(IC24,IC22:IC25)+COUNTIF(IC22:IC24,IC24)-1</f>
        <v>#VALUE!</v>
      </c>
      <c r="IE24" s="327" t="str">
        <f>IF(IA24="",HY24,HY24&amp;" ("&amp;IA24&amp;")")</f>
        <v>Dimitry Koltakov</v>
      </c>
      <c r="IF24" s="344">
        <v>3</v>
      </c>
      <c r="IG24" s="337" t="str">
        <f>IF(AC20="","",VLOOKUP(IF24,ID22:IE25,2,FALSE))</f>
        <v/>
      </c>
      <c r="IH24" s="1149"/>
      <c r="II24" s="131" t="str">
        <f>IF($AL22="",$AH22,$AL22)</f>
        <v>Daniil Ivanov</v>
      </c>
      <c r="IJ24" s="327" t="str">
        <f>AQ22</f>
        <v/>
      </c>
      <c r="IK24" s="327" t="str">
        <f>IF($AP22="","",$AP22)</f>
        <v/>
      </c>
      <c r="IL24" s="327">
        <v>0.02</v>
      </c>
      <c r="IM24" s="327" t="str">
        <f t="shared" si="67"/>
        <v/>
      </c>
      <c r="IN24" s="327" t="e">
        <f>RANK(IM24,IM22:IM25)+COUNTIF(IM22:IM24,IM24)-1</f>
        <v>#VALUE!</v>
      </c>
      <c r="IO24" s="327" t="str">
        <f>IF(IK24="",II24,II24&amp;" ("&amp;IK24&amp;")")</f>
        <v>Daniil Ivanov</v>
      </c>
      <c r="IP24" s="344">
        <v>3</v>
      </c>
      <c r="IQ24" s="337" t="str">
        <f>IF(AR20="","",VLOOKUP(IP24,IN22:IO25,2,FALSE))</f>
        <v/>
      </c>
      <c r="IU24" s="1111">
        <v>4</v>
      </c>
      <c r="IV24" s="695"/>
      <c r="IW24" s="696" t="str">
        <f t="shared" si="68"/>
        <v/>
      </c>
      <c r="IX24" s="697"/>
      <c r="IZ24" s="1111">
        <v>12</v>
      </c>
      <c r="JA24" s="695"/>
      <c r="JB24" s="696" t="str">
        <f t="shared" si="69"/>
        <v/>
      </c>
      <c r="JC24" s="697"/>
      <c r="JE24" s="1111">
        <v>20</v>
      </c>
      <c r="JF24" s="695"/>
      <c r="JG24" s="696" t="str">
        <f t="shared" si="70"/>
        <v/>
      </c>
      <c r="JH24" s="697"/>
      <c r="JI24" s="687"/>
      <c r="JJ24" s="1334">
        <v>4</v>
      </c>
      <c r="JK24" s="875">
        <v>68</v>
      </c>
      <c r="JL24" s="878" t="str">
        <f t="shared" si="108"/>
        <v/>
      </c>
      <c r="JM24" s="872" t="str">
        <f t="shared" si="71"/>
        <v/>
      </c>
      <c r="JN24" s="868" t="str">
        <f>IF($N$24="","",IF(AND($D$24=JL$11,$F$24&lt;&gt;""),$F$24,IF(AND($D$24=JL$11,$L$24&lt;&gt;""),$L$24,IF($D$24=JL$11,$M$24,""))))</f>
        <v/>
      </c>
      <c r="JO24" s="878" t="str">
        <f t="shared" si="109"/>
        <v/>
      </c>
      <c r="JP24" s="872" t="str">
        <f t="shared" si="72"/>
        <v/>
      </c>
      <c r="JQ24" s="868" t="str">
        <f>IF($N$24="","",IF(AND($D$24=JO$11,$F$24&lt;&gt;""),$F$24,IF(AND($D$24=JO$11,$L$24&lt;&gt;""),$L$24,IF($D$24=JO$11,$M$24,""))))</f>
        <v/>
      </c>
      <c r="JR24" s="878" t="str">
        <f t="shared" si="73"/>
        <v/>
      </c>
      <c r="JS24" s="872" t="str">
        <f t="shared" si="74"/>
        <v/>
      </c>
      <c r="JT24" s="868" t="str">
        <f>IF($N$24="","",IF(AND($D$24=JR$11,$F$24&lt;&gt;""),$F$24,IF(AND($D$24=JR$11,$L$24&lt;&gt;""),$L$24,IF($D$24=JR$11,$M$24,""))))</f>
        <v/>
      </c>
      <c r="JU24" s="878" t="str">
        <f t="shared" si="75"/>
        <v/>
      </c>
      <c r="JV24" s="872" t="str">
        <f t="shared" si="76"/>
        <v/>
      </c>
      <c r="JW24" s="868" t="str">
        <f>IF($N$24="","",IF(AND($D$24=JU$11,$F$24&lt;&gt;""),$F$24,IF(AND($D$24=JU$11,$L$24&lt;&gt;""),$L$24,IF($D$24=JU$11,$M$24,""))))</f>
        <v/>
      </c>
      <c r="JX24" s="878" t="str">
        <f t="shared" si="77"/>
        <v/>
      </c>
      <c r="JY24" s="872" t="str">
        <f t="shared" si="78"/>
        <v/>
      </c>
      <c r="JZ24" s="868" t="str">
        <f>IF($N$24="","",IF(AND($D$24=JX$11,$F$24&lt;&gt;""),$F$24,IF(AND($D$24=JX$11,$L$24&lt;&gt;""),$L$24,IF($D$24=JX$11,$M$24,""))))</f>
        <v/>
      </c>
      <c r="KA24" s="878" t="str">
        <f t="shared" si="79"/>
        <v/>
      </c>
      <c r="KB24" s="872" t="str">
        <f t="shared" si="80"/>
        <v/>
      </c>
      <c r="KC24" s="868" t="str">
        <f>IF($N$24="","",IF(AND($D$24=KA$11,$F$24&lt;&gt;""),$F$24,IF(AND($D$24=KA$11,$L$24&lt;&gt;""),$L$24,IF($D$24=KA$11,$M$24,""))))</f>
        <v/>
      </c>
      <c r="KD24" s="878" t="str">
        <f t="shared" si="81"/>
        <v/>
      </c>
      <c r="KE24" s="872" t="str">
        <f t="shared" si="82"/>
        <v/>
      </c>
      <c r="KF24" s="868" t="str">
        <f>IF($N$24="","",IF(AND($D$24=KD$11,$F$24&lt;&gt;""),$F$24,IF(AND($D$24=KD$11,$L$24&lt;&gt;""),$L$24,IF($D$24=KD$11,$M$24,""))))</f>
        <v/>
      </c>
      <c r="KG24" s="878" t="str">
        <f t="shared" si="83"/>
        <v/>
      </c>
      <c r="KH24" s="872" t="str">
        <f t="shared" si="84"/>
        <v/>
      </c>
      <c r="KI24" s="868" t="str">
        <f>IF($N$24="","",IF(AND($D$24=KG$11,$F$24&lt;&gt;""),$F$24,IF(AND($D$24=KG$11,$L$24&lt;&gt;""),$L$24,IF($D$24=KG$11,$M$24,""))))</f>
        <v/>
      </c>
      <c r="KJ24" s="878" t="str">
        <f t="shared" si="85"/>
        <v/>
      </c>
      <c r="KK24" s="872" t="str">
        <f t="shared" si="86"/>
        <v/>
      </c>
      <c r="KL24" s="868" t="str">
        <f>IF($N$24="","",IF(AND($D$24=KJ$11,$F$24&lt;&gt;""),$F$24,IF(AND($D$24=KJ$11,$L$24&lt;&gt;""),$L$24,IF($D$24=KJ$11,$M$24,""))))</f>
        <v/>
      </c>
      <c r="KM24" s="878" t="str">
        <f t="shared" si="87"/>
        <v/>
      </c>
      <c r="KN24" s="872" t="str">
        <f t="shared" si="88"/>
        <v/>
      </c>
      <c r="KO24" s="868" t="str">
        <f>IF($N$24="","",IF(AND($D$24=KM$11,$F$24&lt;&gt;""),$F$24,IF(AND($D$24=KM$11,$L$24&lt;&gt;""),$L$24,IF($D$24=KM$11,$M$24,""))))</f>
        <v/>
      </c>
      <c r="KP24" s="878" t="str">
        <f t="shared" si="89"/>
        <v/>
      </c>
      <c r="KQ24" s="872" t="str">
        <f t="shared" si="90"/>
        <v/>
      </c>
      <c r="KR24" s="868" t="str">
        <f>IF($N$24="","",IF(AND($D$24=KP$11,$F$24&lt;&gt;""),$F$24,IF(AND($D$24=KP$11,$L$24&lt;&gt;""),$L$24,IF($D$24=KP$11,$M$24,""))))</f>
        <v/>
      </c>
      <c r="KS24" s="878" t="str">
        <f t="shared" si="91"/>
        <v/>
      </c>
      <c r="KT24" s="872" t="str">
        <f t="shared" si="92"/>
        <v/>
      </c>
      <c r="KU24" s="868" t="str">
        <f>IF($N$24="","",IF(AND($D$24=KS$11,$F$24&lt;&gt;""),$F$24,IF(AND($D$24=KS$11,$L$24&lt;&gt;""),$L$24,IF($D$24=KS$11,$M$24,""))))</f>
        <v/>
      </c>
      <c r="KV24" s="878" t="str">
        <f t="shared" si="93"/>
        <v/>
      </c>
      <c r="KW24" s="872" t="str">
        <f t="shared" si="94"/>
        <v/>
      </c>
      <c r="KX24" s="868" t="str">
        <f>IF($N$24="","",IF(AND($D$24=KV$11,$F$24&lt;&gt;""),$F$24,IF(AND($D$24=KV$11,$L$24&lt;&gt;""),$L$24,IF($D$24=KV$11,$M$24,""))))</f>
        <v/>
      </c>
      <c r="KY24" s="878" t="str">
        <f t="shared" si="95"/>
        <v/>
      </c>
      <c r="KZ24" s="872" t="str">
        <f t="shared" si="96"/>
        <v/>
      </c>
      <c r="LA24" s="868" t="str">
        <f>IF($N$24="","",IF(AND($D$24=KY$11,$F$24&lt;&gt;""),$F$24,IF(AND($D$24=KY$11,$L$24&lt;&gt;""),$L$24,IF($D$24=KY$11,$M$24,""))))</f>
        <v/>
      </c>
      <c r="LB24" s="878" t="str">
        <f t="shared" si="97"/>
        <v/>
      </c>
      <c r="LC24" s="872" t="str">
        <f t="shared" si="98"/>
        <v/>
      </c>
      <c r="LD24" s="868" t="str">
        <f>IF($N$24="","",IF(AND($D$24=LB$11,$F$24&lt;&gt;""),$F$24,IF(AND($D$24=LB$11,$L$24&lt;&gt;""),$L$24,IF($D$24=LB$11,$M$24,""))))</f>
        <v/>
      </c>
      <c r="LE24" s="878" t="str">
        <f t="shared" si="99"/>
        <v/>
      </c>
      <c r="LF24" s="872" t="str">
        <f t="shared" si="100"/>
        <v/>
      </c>
      <c r="LG24" s="868" t="str">
        <f>IF($N$24="","",IF(AND($D$24=LE$11,$F$24&lt;&gt;""),$F$24,IF(AND($D$24=LE$11,$L$24&lt;&gt;""),$L$24,IF($D$24=LE$11,$M$24,""))))</f>
        <v/>
      </c>
      <c r="LH24"/>
      <c r="LI24"/>
      <c r="LJ24"/>
      <c r="LK24"/>
      <c r="LL24"/>
      <c r="LM24"/>
    </row>
    <row r="25" spans="1:325" ht="12.75" customHeight="1" thickBot="1">
      <c r="A25" s="1212"/>
      <c r="B25" s="39">
        <v>7</v>
      </c>
      <c r="C25" s="101">
        <f t="shared" si="101"/>
        <v>4</v>
      </c>
      <c r="D25" s="517" t="str">
        <f t="shared" si="102"/>
        <v>Igor Kononov</v>
      </c>
      <c r="E25" s="1011"/>
      <c r="F25" s="1015" t="str">
        <f t="shared" si="47"/>
        <v/>
      </c>
      <c r="G25" s="545"/>
      <c r="H25" s="1198" t="str">
        <f t="shared" si="48"/>
        <v/>
      </c>
      <c r="I25" s="1198"/>
      <c r="J25" s="1198"/>
      <c r="K25" s="1198"/>
      <c r="L25" s="508"/>
      <c r="M25" s="146" t="str">
        <f>IF(N24="","",IF(N24="B",3,IF(N25="B",2,IF(N26="B",1,IF(N27="B",0,0)))))</f>
        <v/>
      </c>
      <c r="N25" s="707"/>
      <c r="O25" s="268"/>
      <c r="P25" s="1212"/>
      <c r="Q25" s="39">
        <v>10</v>
      </c>
      <c r="R25" s="101">
        <f t="shared" si="49"/>
        <v>12</v>
      </c>
      <c r="S25" s="517" t="str">
        <f t="shared" si="50"/>
        <v>Hans Weber</v>
      </c>
      <c r="T25" s="1011"/>
      <c r="U25" s="1015" t="str">
        <f t="shared" si="51"/>
        <v/>
      </c>
      <c r="V25" s="545"/>
      <c r="W25" s="1198" t="str">
        <f t="shared" si="52"/>
        <v/>
      </c>
      <c r="X25" s="1198"/>
      <c r="Y25" s="1198"/>
      <c r="Z25" s="1198"/>
      <c r="AA25" s="508"/>
      <c r="AB25" s="146" t="str">
        <f>IF(AC24="","",IF(AC24="B",3,IF(AC25="B",2,IF(AC26="B",1,IF(AC27="B",0,0)))))</f>
        <v/>
      </c>
      <c r="AC25" s="724"/>
      <c r="AD25" s="269"/>
      <c r="AE25" s="1212"/>
      <c r="AF25" s="39">
        <v>5</v>
      </c>
      <c r="AG25" s="101">
        <f t="shared" si="53"/>
        <v>14</v>
      </c>
      <c r="AH25" s="517" t="str">
        <f t="shared" si="54"/>
        <v>Antonin Klatovsky</v>
      </c>
      <c r="AI25" s="1011"/>
      <c r="AJ25" s="1015" t="str">
        <f t="shared" si="55"/>
        <v/>
      </c>
      <c r="AK25" s="545"/>
      <c r="AL25" s="1198" t="str">
        <f t="shared" si="56"/>
        <v/>
      </c>
      <c r="AM25" s="1198"/>
      <c r="AN25" s="1198"/>
      <c r="AO25" s="1198"/>
      <c r="AP25" s="508"/>
      <c r="AQ25" s="146" t="str">
        <f>IF(AR24="","",IF(AR24="B",3,IF(AR25="B",2,IF(AR26="B",1,IF(AR27="B",0,0)))))</f>
        <v/>
      </c>
      <c r="AR25" s="724"/>
      <c r="AS25" s="268"/>
      <c r="AT25" s="689" t="str">
        <f t="shared" si="57"/>
        <v/>
      </c>
      <c r="AU25" s="65" t="str">
        <f t="shared" si="57"/>
        <v/>
      </c>
      <c r="AV25" s="94" t="str">
        <f t="shared" si="58"/>
        <v>Harald Simon</v>
      </c>
      <c r="AW25" s="3" t="str">
        <f t="shared" si="59"/>
        <v/>
      </c>
      <c r="AX25" s="4" t="str">
        <f t="shared" si="59"/>
        <v/>
      </c>
      <c r="AY25" s="4" t="str">
        <f t="shared" si="59"/>
        <v/>
      </c>
      <c r="AZ25" s="4" t="str">
        <f t="shared" si="59"/>
        <v/>
      </c>
      <c r="BA25" s="26" t="str">
        <f t="shared" si="59"/>
        <v/>
      </c>
      <c r="BB25" s="189">
        <f t="shared" si="59"/>
        <v>0</v>
      </c>
      <c r="BD25" s="192" t="str">
        <f t="shared" si="60"/>
        <v/>
      </c>
      <c r="BE25" s="131" t="str">
        <f t="shared" si="103"/>
        <v/>
      </c>
      <c r="BF25" s="95" t="str">
        <f t="shared" si="103"/>
        <v/>
      </c>
      <c r="BG25"/>
      <c r="BH25" s="390">
        <f t="shared" si="104"/>
        <v>4</v>
      </c>
      <c r="BI25" s="974">
        <v>5</v>
      </c>
      <c r="BK25" s="451">
        <v>3</v>
      </c>
      <c r="BM25" s="8" t="str">
        <f>$M25</f>
        <v/>
      </c>
      <c r="BR25" s="8" t="str">
        <f>$AB25</f>
        <v/>
      </c>
      <c r="BW25" s="8" t="str">
        <f>$AQ25</f>
        <v/>
      </c>
      <c r="BY25" s="8"/>
      <c r="BZ25" s="762">
        <v>14</v>
      </c>
      <c r="CA25" s="762" t="str">
        <f t="shared" si="110"/>
        <v/>
      </c>
      <c r="CB25" s="13">
        <v>2</v>
      </c>
      <c r="CG25" s="1194" t="s">
        <v>155</v>
      </c>
      <c r="CH25" s="1195"/>
      <c r="CI25" s="1195"/>
      <c r="CJ25" s="1229"/>
      <c r="DG25" s="762">
        <v>3</v>
      </c>
      <c r="DH25" s="762"/>
      <c r="DI25" s="762">
        <v>4</v>
      </c>
      <c r="DK25" s="762">
        <v>5</v>
      </c>
      <c r="DL25" s="762" t="s">
        <v>198</v>
      </c>
      <c r="DM25" s="762"/>
      <c r="DR25" s="1174" t="s">
        <v>36</v>
      </c>
      <c r="DS25" s="1174"/>
      <c r="DT25" s="1174"/>
      <c r="DU25" s="1174"/>
      <c r="DV25" s="1174"/>
      <c r="DW25" s="1174"/>
      <c r="DX25" s="1174"/>
      <c r="DY25" s="1174"/>
      <c r="DZ25" s="1174"/>
      <c r="EA25" s="1174"/>
      <c r="EB25" s="1174"/>
      <c r="EC25" s="1174"/>
      <c r="ED25" s="1174"/>
      <c r="EE25" s="1174"/>
      <c r="EF25" s="1174"/>
      <c r="EG25" s="1174"/>
      <c r="EH25" s="227"/>
      <c r="EI25" s="1176" t="s">
        <v>37</v>
      </c>
      <c r="EJ25" s="1177"/>
      <c r="EK25" s="1177"/>
      <c r="EL25" s="1177"/>
      <c r="EM25" s="1177"/>
      <c r="EN25" s="1177"/>
      <c r="EO25" s="1177"/>
      <c r="EP25" s="1177"/>
      <c r="EQ25" s="1177"/>
      <c r="ER25" s="1177"/>
      <c r="ES25" s="1177"/>
      <c r="ET25" s="1177"/>
      <c r="EU25" s="1177"/>
      <c r="EV25" s="1177"/>
      <c r="EW25" s="1177"/>
      <c r="EX25" s="1178"/>
      <c r="EY25" s="1168" t="s">
        <v>39</v>
      </c>
      <c r="FE25" s="762" t="s">
        <v>145</v>
      </c>
      <c r="FG25" s="290"/>
      <c r="FH25" s="316"/>
      <c r="FI25" s="316" t="s">
        <v>203</v>
      </c>
      <c r="FK25" s="1227" t="s">
        <v>208</v>
      </c>
      <c r="FL25" s="1227"/>
      <c r="FM25" s="316"/>
      <c r="FN25" s="290"/>
      <c r="FO25" s="290"/>
      <c r="FP25" s="290"/>
      <c r="FQ25" s="290"/>
      <c r="FR25"/>
      <c r="GB25"/>
      <c r="GC25"/>
      <c r="GK25" s="1228"/>
      <c r="GL25" s="1228"/>
      <c r="GM25" s="1228"/>
      <c r="GN25" s="1228"/>
      <c r="GO25" s="1228"/>
      <c r="GP25" s="1228"/>
      <c r="GW25" s="1144"/>
      <c r="GX25" s="230" t="str">
        <f>IF($N$24="","",IF($IW$25=$GX$3,$IX$25,IF(AND($H$25=$GX$3,$L$25&lt;&gt;""),$L$25,IF(AND($H$25=$GX$3,$L$25=""),$M$25,""))))</f>
        <v/>
      </c>
      <c r="GY25" s="301">
        <v>67</v>
      </c>
      <c r="GZ25" s="5" t="str">
        <f t="shared" si="105"/>
        <v/>
      </c>
      <c r="HA25" s="95" t="str">
        <f t="shared" si="62"/>
        <v/>
      </c>
      <c r="HB25" s="5"/>
      <c r="HC25" s="95" t="str">
        <f t="shared" si="106"/>
        <v/>
      </c>
      <c r="HG25" s="1144"/>
      <c r="HH25" s="230" t="str">
        <f>IF($N$24="","",IF($IW$25=$HH$3,$IX$25,IF(AND($H$25=$HH$3,$L$25&lt;&gt;""),$L$25,IF(AND($H$25=$HH$3,$L$25=""),$M$25,""))))</f>
        <v/>
      </c>
      <c r="HI25" s="301">
        <v>67</v>
      </c>
      <c r="HJ25" s="5" t="str">
        <f t="shared" si="107"/>
        <v/>
      </c>
      <c r="HK25" s="95" t="str">
        <f t="shared" si="63"/>
        <v/>
      </c>
      <c r="HL25" s="5"/>
      <c r="HM25" s="95" t="str">
        <f t="shared" si="64"/>
        <v/>
      </c>
      <c r="HN25" s="1150">
        <v>3</v>
      </c>
      <c r="HO25" s="131" t="str">
        <f>IF($H23="",$D23,$H23)</f>
        <v>Daniel Henderson</v>
      </c>
      <c r="HP25" s="884" t="str">
        <f>M23</f>
        <v/>
      </c>
      <c r="HQ25" s="327" t="str">
        <f>IF($L23="","",$L23)</f>
        <v/>
      </c>
      <c r="HR25" s="327">
        <v>0.01</v>
      </c>
      <c r="HS25" s="458" t="str">
        <f>IF(HQ25&lt;&gt;"",-1,HP25)</f>
        <v/>
      </c>
      <c r="HT25" s="327" t="e">
        <f>RANK(HS25,HS22:HS25)+COUNTIF(HS22:HS25,HS25)-1</f>
        <v>#VALUE!</v>
      </c>
      <c r="HU25" s="327" t="str">
        <f>IF(HQ25="",HO25,HO25&amp;" ("&amp;HQ25&amp;")")</f>
        <v>Daniel Henderson</v>
      </c>
      <c r="HV25" s="328">
        <v>4</v>
      </c>
      <c r="HW25" s="337" t="str">
        <f>IF(N20="","",VLOOKUP(HV25,HT22:HU25,2,FALSE))</f>
        <v/>
      </c>
      <c r="HX25" s="1150">
        <v>11</v>
      </c>
      <c r="HY25" s="131" t="str">
        <f>IF($W23="",$S23,$W23)</f>
        <v>Igor Kononov</v>
      </c>
      <c r="HZ25" s="327" t="str">
        <f>AB23</f>
        <v/>
      </c>
      <c r="IA25" s="327" t="str">
        <f>IF($AA23="","",$AA23)</f>
        <v/>
      </c>
      <c r="IB25" s="327">
        <v>0.01</v>
      </c>
      <c r="IC25" s="458" t="str">
        <f>IF(IA25&lt;&gt;"",-1,HZ25)</f>
        <v/>
      </c>
      <c r="ID25" s="327" t="e">
        <f>RANK(IC25,IC22:IC25)+COUNTIF(IC22:IC25,IC25)-1</f>
        <v>#VALUE!</v>
      </c>
      <c r="IE25" s="327" t="str">
        <f>IF(IA25="",HY25,HY25&amp;" ("&amp;IA25&amp;")")</f>
        <v>Igor Kononov</v>
      </c>
      <c r="IF25" s="344">
        <v>4</v>
      </c>
      <c r="IG25" s="337" t="str">
        <f>IF(AC20="","",VLOOKUP(IF25,ID22:IE25,2,FALSE))</f>
        <v/>
      </c>
      <c r="IH25" s="1150">
        <v>19</v>
      </c>
      <c r="II25" s="131" t="str">
        <f>IF($AL23="",$AH23,$AL23)</f>
        <v>Stefan Svensson</v>
      </c>
      <c r="IJ25" s="327" t="str">
        <f>AQ23</f>
        <v/>
      </c>
      <c r="IK25" s="327" t="str">
        <f>IF($AP23="","",$AP23)</f>
        <v/>
      </c>
      <c r="IL25" s="327">
        <v>0.01</v>
      </c>
      <c r="IM25" s="327" t="str">
        <f t="shared" si="67"/>
        <v/>
      </c>
      <c r="IN25" s="327" t="e">
        <f>RANK(IM25,IM22:IM25)+COUNTIF(IM22:IM25,IM25)-1</f>
        <v>#VALUE!</v>
      </c>
      <c r="IO25" s="327" t="str">
        <f>IF(IK25="",II25,II25&amp;" ("&amp;IK25&amp;")")</f>
        <v>Stefan Svensson</v>
      </c>
      <c r="IP25" s="344">
        <v>4</v>
      </c>
      <c r="IQ25" s="337" t="str">
        <f>IF(AR20="","",VLOOKUP(IP25,IN22:IO25,2,FALSE))</f>
        <v/>
      </c>
      <c r="IU25" s="1112"/>
      <c r="IV25" s="698"/>
      <c r="IW25" s="699" t="str">
        <f t="shared" si="68"/>
        <v/>
      </c>
      <c r="IX25" s="700"/>
      <c r="IZ25" s="1112"/>
      <c r="JA25" s="698"/>
      <c r="JB25" s="699" t="str">
        <f t="shared" si="69"/>
        <v/>
      </c>
      <c r="JC25" s="700"/>
      <c r="JE25" s="1112"/>
      <c r="JF25" s="698"/>
      <c r="JG25" s="699" t="str">
        <f t="shared" si="70"/>
        <v/>
      </c>
      <c r="JH25" s="700"/>
      <c r="JI25" s="687"/>
      <c r="JJ25" s="1335"/>
      <c r="JK25" s="876">
        <v>67</v>
      </c>
      <c r="JL25" s="879" t="str">
        <f t="shared" si="108"/>
        <v/>
      </c>
      <c r="JM25" s="655" t="str">
        <f t="shared" si="71"/>
        <v/>
      </c>
      <c r="JN25" s="869" t="str">
        <f>IF($N$24="","",IF(AND($D$25=JL$11,$F$25&lt;&gt;""),$F$25,IF(AND($D$25=JL$11,$L$25&lt;&gt;""),$L$25,IF($D$25=JL$11,$M$25,""))))</f>
        <v/>
      </c>
      <c r="JO25" s="879" t="str">
        <f t="shared" si="109"/>
        <v/>
      </c>
      <c r="JP25" s="655" t="str">
        <f t="shared" si="72"/>
        <v/>
      </c>
      <c r="JQ25" s="869" t="str">
        <f>IF($N$24="","",IF(AND($D$25=JO$11,$F$25&lt;&gt;""),$F$25,IF(AND($D$25=JO$11,$L$25&lt;&gt;""),$L$25,IF($D$25=JO$11,$M$25,""))))</f>
        <v/>
      </c>
      <c r="JR25" s="879" t="str">
        <f t="shared" si="73"/>
        <v/>
      </c>
      <c r="JS25" s="655" t="str">
        <f t="shared" si="74"/>
        <v/>
      </c>
      <c r="JT25" s="869" t="str">
        <f>IF($N$24="","",IF(AND($D$25=JR$11,$F$25&lt;&gt;""),$F$25,IF(AND($D$25=JR$11,$L$25&lt;&gt;""),$L$25,IF($D$25=JR$11,$M$25,""))))</f>
        <v/>
      </c>
      <c r="JU25" s="879" t="str">
        <f t="shared" si="75"/>
        <v/>
      </c>
      <c r="JV25" s="655" t="str">
        <f t="shared" si="76"/>
        <v/>
      </c>
      <c r="JW25" s="869" t="str">
        <f>IF($N$24="","",IF(AND($D$25=JU$11,$F$25&lt;&gt;""),$F$25,IF(AND($D$25=JU$11,$L$25&lt;&gt;""),$L$25,IF($D$25=JU$11,$M$25,""))))</f>
        <v/>
      </c>
      <c r="JX25" s="879" t="str">
        <f t="shared" si="77"/>
        <v/>
      </c>
      <c r="JY25" s="655" t="str">
        <f t="shared" si="78"/>
        <v/>
      </c>
      <c r="JZ25" s="869" t="str">
        <f>IF($N$24="","",IF(AND($D$25=JX$11,$F$25&lt;&gt;""),$F$25,IF(AND($D$25=JX$11,$L$25&lt;&gt;""),$L$25,IF($D$25=JX$11,$M$25,""))))</f>
        <v/>
      </c>
      <c r="KA25" s="879" t="str">
        <f t="shared" si="79"/>
        <v/>
      </c>
      <c r="KB25" s="655" t="str">
        <f t="shared" si="80"/>
        <v/>
      </c>
      <c r="KC25" s="869" t="str">
        <f>IF($N$24="","",IF(AND($D$25=KA$11,$F$25&lt;&gt;""),$F$25,IF(AND($D$25=KA$11,$L$25&lt;&gt;""),$L$25,IF($D$25=KA$11,$M$25,""))))</f>
        <v/>
      </c>
      <c r="KD25" s="879" t="str">
        <f t="shared" si="81"/>
        <v/>
      </c>
      <c r="KE25" s="655" t="str">
        <f t="shared" si="82"/>
        <v/>
      </c>
      <c r="KF25" s="869" t="str">
        <f>IF($N$24="","",IF(AND($D$25=KD$11,$F$25&lt;&gt;""),$F$25,IF(AND($D$25=KD$11,$L$25&lt;&gt;""),$L$25,IF($D$25=KD$11,$M$25,""))))</f>
        <v/>
      </c>
      <c r="KG25" s="879" t="str">
        <f t="shared" si="83"/>
        <v/>
      </c>
      <c r="KH25" s="655" t="str">
        <f t="shared" si="84"/>
        <v/>
      </c>
      <c r="KI25" s="869" t="str">
        <f>IF($N$24="","",IF(AND($D$25=KG$11,$F$25&lt;&gt;""),$F$25,IF(AND($D$25=KG$11,$L$25&lt;&gt;""),$L$25,IF($D$25=KG$11,$M$25,""))))</f>
        <v/>
      </c>
      <c r="KJ25" s="879" t="str">
        <f t="shared" si="85"/>
        <v/>
      </c>
      <c r="KK25" s="655" t="str">
        <f t="shared" si="86"/>
        <v/>
      </c>
      <c r="KL25" s="869" t="str">
        <f>IF($N$24="","",IF(AND($D$25=KJ$11,$F$25&lt;&gt;""),$F$25,IF(AND($D$25=KJ$11,$L$25&lt;&gt;""),$L$25,IF($D$25=KJ$11,$M$25,""))))</f>
        <v/>
      </c>
      <c r="KM25" s="879" t="str">
        <f t="shared" si="87"/>
        <v/>
      </c>
      <c r="KN25" s="655" t="str">
        <f t="shared" si="88"/>
        <v/>
      </c>
      <c r="KO25" s="869" t="str">
        <f>IF($N$24="","",IF(AND($D$25=KM$11,$F$25&lt;&gt;""),$F$25,IF(AND($D$25=KM$11,$L$25&lt;&gt;""),$L$25,IF($D$25=KM$11,$M$25,""))))</f>
        <v/>
      </c>
      <c r="KP25" s="879" t="str">
        <f t="shared" si="89"/>
        <v/>
      </c>
      <c r="KQ25" s="655" t="str">
        <f t="shared" si="90"/>
        <v/>
      </c>
      <c r="KR25" s="869" t="str">
        <f>IF($N$24="","",IF(AND($D$25=KP$11,$F$25&lt;&gt;""),$F$25,IF(AND($D$25=KP$11,$L$25&lt;&gt;""),$L$25,IF($D$25=KP$11,$M$25,""))))</f>
        <v/>
      </c>
      <c r="KS25" s="879" t="str">
        <f t="shared" si="91"/>
        <v/>
      </c>
      <c r="KT25" s="655" t="str">
        <f t="shared" si="92"/>
        <v/>
      </c>
      <c r="KU25" s="869" t="str">
        <f>IF($N$24="","",IF(AND($D$25=KS$11,$F$25&lt;&gt;""),$F$25,IF(AND($D$25=KS$11,$L$25&lt;&gt;""),$L$25,IF($D$25=KS$11,$M$25,""))))</f>
        <v/>
      </c>
      <c r="KV25" s="879" t="str">
        <f t="shared" si="93"/>
        <v/>
      </c>
      <c r="KW25" s="655" t="str">
        <f t="shared" si="94"/>
        <v/>
      </c>
      <c r="KX25" s="869" t="str">
        <f>IF($N$24="","",IF(AND($D$25=KV$11,$F$25&lt;&gt;""),$F$25,IF(AND($D$25=KV$11,$L$25&lt;&gt;""),$L$25,IF($D$25=KV$11,$M$25,""))))</f>
        <v/>
      </c>
      <c r="KY25" s="879" t="str">
        <f t="shared" si="95"/>
        <v/>
      </c>
      <c r="KZ25" s="655" t="str">
        <f t="shared" si="96"/>
        <v/>
      </c>
      <c r="LA25" s="869" t="str">
        <f>IF($N$24="","",IF(AND($D$25=KY$11,$F$25&lt;&gt;""),$F$25,IF(AND($D$25=KY$11,$L$25&lt;&gt;""),$L$25,IF($D$25=KY$11,$M$25,""))))</f>
        <v/>
      </c>
      <c r="LB25" s="879" t="str">
        <f t="shared" si="97"/>
        <v/>
      </c>
      <c r="LC25" s="655" t="str">
        <f t="shared" si="98"/>
        <v/>
      </c>
      <c r="LD25" s="869" t="str">
        <f>IF($N$24="","",IF(AND($D$25=LB$11,$F$25&lt;&gt;""),$F$25,IF(AND($D$25=LB$11,$L$25&lt;&gt;""),$L$25,IF($D$25=LB$11,$M$25,""))))</f>
        <v/>
      </c>
      <c r="LE25" s="879" t="str">
        <f t="shared" si="99"/>
        <v/>
      </c>
      <c r="LF25" s="655" t="str">
        <f t="shared" si="100"/>
        <v/>
      </c>
      <c r="LG25" s="869" t="str">
        <f>IF($N$24="","",IF(AND($D$25=LE$11,$F$25&lt;&gt;""),$F$25,IF(AND($D$25=LE$11,$L$25&lt;&gt;""),$L$25,IF($D$25=LE$11,$M$25,""))))</f>
        <v/>
      </c>
      <c r="LH25"/>
      <c r="LI25"/>
      <c r="LJ25"/>
      <c r="LK25"/>
      <c r="LL25"/>
      <c r="LM25"/>
    </row>
    <row r="26" spans="1:325" ht="12.75" customHeight="1" thickBot="1">
      <c r="A26" s="1212"/>
      <c r="B26" s="39">
        <v>11</v>
      </c>
      <c r="C26" s="102">
        <f t="shared" si="101"/>
        <v>15</v>
      </c>
      <c r="D26" s="517" t="str">
        <f t="shared" si="102"/>
        <v>Harald Simon</v>
      </c>
      <c r="E26" s="1011"/>
      <c r="F26" s="1015" t="str">
        <f t="shared" si="47"/>
        <v/>
      </c>
      <c r="G26" s="545"/>
      <c r="H26" s="1198" t="str">
        <f t="shared" si="48"/>
        <v/>
      </c>
      <c r="I26" s="1198"/>
      <c r="J26" s="1198"/>
      <c r="K26" s="1198"/>
      <c r="L26" s="508"/>
      <c r="M26" s="146" t="str">
        <f>IF(N24="","",IF(N24="w",3,IF(N25="w",2,IF(N26="w",1,IF(N27="w",0,0)))))</f>
        <v/>
      </c>
      <c r="N26" s="707"/>
      <c r="O26" s="268"/>
      <c r="P26" s="1212"/>
      <c r="Q26" s="39">
        <v>9</v>
      </c>
      <c r="R26" s="102">
        <f t="shared" si="49"/>
        <v>1</v>
      </c>
      <c r="S26" s="517" t="str">
        <f t="shared" si="50"/>
        <v>Daniil Ivanov</v>
      </c>
      <c r="T26" s="1011"/>
      <c r="U26" s="1015" t="str">
        <f t="shared" si="51"/>
        <v/>
      </c>
      <c r="V26" s="545"/>
      <c r="W26" s="1198" t="str">
        <f t="shared" si="52"/>
        <v/>
      </c>
      <c r="X26" s="1198"/>
      <c r="Y26" s="1198"/>
      <c r="Z26" s="1198"/>
      <c r="AA26" s="508"/>
      <c r="AB26" s="146" t="str">
        <f>IF(AC24="","",IF(AC24="w",3,IF(AC25="w",2,IF(AC26="w",1,IF(AC27="w",0,0)))))</f>
        <v/>
      </c>
      <c r="AC26" s="724"/>
      <c r="AD26" s="269"/>
      <c r="AE26" s="1212"/>
      <c r="AF26" s="39">
        <v>2</v>
      </c>
      <c r="AG26" s="102">
        <f t="shared" si="53"/>
        <v>3</v>
      </c>
      <c r="AH26" s="517" t="str">
        <f t="shared" si="54"/>
        <v>Dimitry Khomitsevich</v>
      </c>
      <c r="AI26" s="1011"/>
      <c r="AJ26" s="1015" t="str">
        <f t="shared" si="55"/>
        <v/>
      </c>
      <c r="AK26" s="545"/>
      <c r="AL26" s="1198" t="str">
        <f t="shared" si="56"/>
        <v/>
      </c>
      <c r="AM26" s="1198"/>
      <c r="AN26" s="1198"/>
      <c r="AO26" s="1198"/>
      <c r="AP26" s="508"/>
      <c r="AQ26" s="146" t="str">
        <f>IF(AR24="","",IF(AR24="w",3,IF(AR25="w",2,IF(AR26="w",1,IF(AR27="w",0,0)))))</f>
        <v/>
      </c>
      <c r="AR26" s="724"/>
      <c r="AS26" s="268"/>
      <c r="AT26" s="689" t="str">
        <f t="shared" si="57"/>
        <v/>
      </c>
      <c r="AU26" s="65" t="str">
        <f t="shared" si="57"/>
        <v/>
      </c>
      <c r="AV26" s="94" t="str">
        <f t="shared" si="58"/>
        <v>Rene Stellingwerf</v>
      </c>
      <c r="AW26" s="3" t="str">
        <f t="shared" si="59"/>
        <v/>
      </c>
      <c r="AX26" s="4" t="str">
        <f t="shared" si="59"/>
        <v/>
      </c>
      <c r="AY26" s="4" t="str">
        <f t="shared" si="59"/>
        <v/>
      </c>
      <c r="AZ26" s="4" t="str">
        <f t="shared" si="59"/>
        <v/>
      </c>
      <c r="BA26" s="26" t="str">
        <f t="shared" si="59"/>
        <v/>
      </c>
      <c r="BB26" s="189">
        <f t="shared" si="59"/>
        <v>0</v>
      </c>
      <c r="BD26" s="192" t="str">
        <f t="shared" si="60"/>
        <v/>
      </c>
      <c r="BE26" s="131" t="str">
        <f t="shared" si="103"/>
        <v/>
      </c>
      <c r="BF26" s="95" t="str">
        <f t="shared" si="103"/>
        <v/>
      </c>
      <c r="BG26"/>
      <c r="BH26" s="390">
        <f t="shared" si="104"/>
        <v>4</v>
      </c>
      <c r="BI26" s="974">
        <v>4</v>
      </c>
      <c r="BK26" s="451">
        <v>2</v>
      </c>
      <c r="BN26" s="8" t="str">
        <f>$M26</f>
        <v/>
      </c>
      <c r="BS26" s="8" t="str">
        <f>$AB26</f>
        <v/>
      </c>
      <c r="BX26" s="8" t="str">
        <f>$AQ26</f>
        <v/>
      </c>
      <c r="BY26" s="8"/>
      <c r="BZ26" s="762">
        <v>15</v>
      </c>
      <c r="CA26" s="762" t="str">
        <f t="shared" si="110"/>
        <v/>
      </c>
      <c r="CB26" s="13">
        <v>3</v>
      </c>
      <c r="CG26" s="1194" t="s">
        <v>154</v>
      </c>
      <c r="CH26" s="1195"/>
      <c r="CI26" s="1195"/>
      <c r="CJ26" s="1229"/>
      <c r="CU26" s="1194" t="s">
        <v>153</v>
      </c>
      <c r="CV26" s="1195"/>
      <c r="CW26" s="1195"/>
      <c r="CX26" s="712"/>
      <c r="CY26" s="712"/>
      <c r="CZ26" s="712"/>
      <c r="DA26" s="712"/>
      <c r="DB26" s="712"/>
      <c r="DC26" s="712"/>
      <c r="DD26" s="712"/>
      <c r="DE26" s="712"/>
      <c r="DF26" s="712"/>
      <c r="DG26" s="712"/>
      <c r="DH26" s="712"/>
      <c r="DI26" s="712"/>
      <c r="DJ26" s="712"/>
      <c r="DK26" s="712"/>
      <c r="DL26" s="712"/>
      <c r="DM26" s="712"/>
      <c r="DN26" s="712"/>
      <c r="DO26" s="712"/>
      <c r="DP26" s="713"/>
      <c r="DQ26" s="598"/>
      <c r="DR26" s="242">
        <f>$R$2</f>
        <v>9</v>
      </c>
      <c r="DS26" s="222">
        <f>$R$3</f>
        <v>3</v>
      </c>
      <c r="DT26" s="222">
        <f>$R$4</f>
        <v>10</v>
      </c>
      <c r="DU26" s="222">
        <f>$R$5</f>
        <v>6</v>
      </c>
      <c r="DV26" s="222">
        <f>$R$6</f>
        <v>14</v>
      </c>
      <c r="DW26" s="222">
        <f>$R$7</f>
        <v>16</v>
      </c>
      <c r="DX26" s="222">
        <f>$R$8</f>
        <v>4</v>
      </c>
      <c r="DY26" s="222">
        <f>$R$9</f>
        <v>7</v>
      </c>
      <c r="DZ26" s="222">
        <f>$AG$2</f>
        <v>1</v>
      </c>
      <c r="EA26" s="222">
        <f>$AG$3</f>
        <v>12</v>
      </c>
      <c r="EB26" s="222">
        <f>$AG$4</f>
        <v>15</v>
      </c>
      <c r="EC26" s="222">
        <f>$AG$5</f>
        <v>11</v>
      </c>
      <c r="ED26" s="222">
        <f>$AG$6</f>
        <v>19</v>
      </c>
      <c r="EE26" s="222">
        <f>$AG$7</f>
        <v>8</v>
      </c>
      <c r="EF26" s="222">
        <f>$AG$8</f>
        <v>2</v>
      </c>
      <c r="EG26" s="223">
        <f>$AG$9</f>
        <v>5</v>
      </c>
      <c r="EH26" s="228"/>
      <c r="EI26" s="221">
        <f>$R$2</f>
        <v>9</v>
      </c>
      <c r="EJ26" s="222">
        <f>$R$3</f>
        <v>3</v>
      </c>
      <c r="EK26" s="222">
        <f>$R$4</f>
        <v>10</v>
      </c>
      <c r="EL26" s="222">
        <f>$R$5</f>
        <v>6</v>
      </c>
      <c r="EM26" s="222">
        <f>$R$6</f>
        <v>14</v>
      </c>
      <c r="EN26" s="222">
        <f>$R$7</f>
        <v>16</v>
      </c>
      <c r="EO26" s="222">
        <f>$R$8</f>
        <v>4</v>
      </c>
      <c r="EP26" s="222">
        <f>$R$9</f>
        <v>7</v>
      </c>
      <c r="EQ26" s="222">
        <f>$AG$2</f>
        <v>1</v>
      </c>
      <c r="ER26" s="222">
        <f>$AG$3</f>
        <v>12</v>
      </c>
      <c r="ES26" s="222">
        <f>$AG$4</f>
        <v>15</v>
      </c>
      <c r="ET26" s="222">
        <f>$AG$5</f>
        <v>11</v>
      </c>
      <c r="EU26" s="222">
        <f>$AG$6</f>
        <v>19</v>
      </c>
      <c r="EV26" s="222">
        <f>$AG$7</f>
        <v>8</v>
      </c>
      <c r="EW26" s="222">
        <f>$AG$8</f>
        <v>2</v>
      </c>
      <c r="EX26" s="223">
        <f>$AG$9</f>
        <v>5</v>
      </c>
      <c r="EY26" s="1169"/>
      <c r="FA26" s="654"/>
      <c r="FB26" s="654"/>
      <c r="FC26" s="655" t="s">
        <v>200</v>
      </c>
      <c r="FD26" s="655" t="s">
        <v>201</v>
      </c>
      <c r="FE26" s="655" t="s">
        <v>202</v>
      </c>
      <c r="FF26" s="655" t="s">
        <v>204</v>
      </c>
      <c r="FG26" s="656" t="s">
        <v>206</v>
      </c>
      <c r="FH26" s="655" t="s">
        <v>20</v>
      </c>
      <c r="FI26" s="656" t="s">
        <v>205</v>
      </c>
      <c r="FJ26" s="762" t="s">
        <v>207</v>
      </c>
      <c r="FK26" s="762" t="s">
        <v>14</v>
      </c>
      <c r="FL26" s="762" t="s">
        <v>15</v>
      </c>
      <c r="FM26" s="762" t="s">
        <v>17</v>
      </c>
      <c r="FN26" s="762" t="s">
        <v>192</v>
      </c>
      <c r="FO26" s="290"/>
      <c r="FP26" s="316" t="s">
        <v>92</v>
      </c>
      <c r="FQ26" s="316" t="s">
        <v>93</v>
      </c>
      <c r="FR26" s="290" t="s">
        <v>209</v>
      </c>
      <c r="FS26" s="290"/>
      <c r="FT26"/>
      <c r="FX26" s="762" t="s">
        <v>21</v>
      </c>
      <c r="FY26" s="762" t="s">
        <v>20</v>
      </c>
      <c r="GA26"/>
      <c r="GB26"/>
      <c r="GC26"/>
      <c r="GK26" s="641"/>
      <c r="GL26" s="631" t="str">
        <f>$GK27</f>
        <v/>
      </c>
      <c r="GM26" s="632" t="str">
        <f>$GK28</f>
        <v/>
      </c>
      <c r="GN26" s="632" t="str">
        <f>$GK29</f>
        <v/>
      </c>
      <c r="GO26" s="633" t="str">
        <f>$GK30</f>
        <v/>
      </c>
      <c r="GP26" s="754"/>
      <c r="GW26" s="1144"/>
      <c r="GX26" s="230" t="str">
        <f>IF($N$24="","",IF($IW$26=$GX$3,$IX$26,IF(AND($H$26=$GX$3,$L$26&lt;&gt;""),$L$26,IF(AND($H$26=$GX$3,$L$26=""),$M$26,""))))</f>
        <v/>
      </c>
      <c r="GY26" s="301">
        <v>66</v>
      </c>
      <c r="GZ26" s="5" t="str">
        <f t="shared" si="105"/>
        <v/>
      </c>
      <c r="HA26" s="95" t="str">
        <f t="shared" si="62"/>
        <v/>
      </c>
      <c r="HB26" s="5"/>
      <c r="HC26" s="95" t="str">
        <f t="shared" si="106"/>
        <v/>
      </c>
      <c r="HG26" s="1144"/>
      <c r="HH26" s="230" t="str">
        <f>IF($N$24="","",IF($IW$26=$HH$3,$IX$26,IF(AND($H$26=$HH$3,$L$26&lt;&gt;""),$L$26,IF(AND($H$26=$HH$3,$L$26=""),$M$26,""))))</f>
        <v/>
      </c>
      <c r="HI26" s="301">
        <v>66</v>
      </c>
      <c r="HJ26" s="5" t="str">
        <f t="shared" si="107"/>
        <v/>
      </c>
      <c r="HK26" s="95" t="str">
        <f t="shared" si="63"/>
        <v/>
      </c>
      <c r="HL26" s="5"/>
      <c r="HM26" s="95" t="str">
        <f t="shared" si="64"/>
        <v/>
      </c>
      <c r="HN26" s="348" t="str">
        <f>IF($A23="","",$A23)</f>
        <v/>
      </c>
      <c r="HO26" s="132" t="str">
        <f>IF($H20&lt;&gt;"",$D20,IF($H21&lt;&gt;"",$D21,IF($H22&lt;&gt;"",$D22,IF($H23&lt;&gt;"",$D23,""))))</f>
        <v/>
      </c>
      <c r="HP26" s="885" t="str">
        <f>IF(HO26="","",VLOOKUP($HO26,$CW$3:$DB$18,2,FALSE))</f>
        <v/>
      </c>
      <c r="HQ26" s="338"/>
      <c r="HR26" s="338"/>
      <c r="HS26" s="338">
        <v>5</v>
      </c>
      <c r="HT26" s="338"/>
      <c r="HU26" s="132" t="str">
        <f>IF(HO26="","",HO26&amp;" ("&amp;HP26&amp;")")</f>
        <v/>
      </c>
      <c r="HV26" s="349">
        <v>5</v>
      </c>
      <c r="HW26" s="339" t="str">
        <f>IF(HU26="","",HU26)</f>
        <v/>
      </c>
      <c r="HX26" s="348" t="str">
        <f>IF($P23="","",$P23)</f>
        <v/>
      </c>
      <c r="HY26" s="132" t="str">
        <f>IF($W20&lt;&gt;"",$S20,IF($W21&lt;&gt;"",$S21,IF($W22&lt;&gt;"",$S22,IF($W23&lt;&gt;"",$S23,""))))</f>
        <v/>
      </c>
      <c r="HZ26" s="338" t="str">
        <f>IF(HY26="","",VLOOKUP($HY26,$CW$3:$DB$18,4,FALSE))</f>
        <v/>
      </c>
      <c r="IA26" s="338"/>
      <c r="IB26" s="338"/>
      <c r="IC26" s="338">
        <v>5</v>
      </c>
      <c r="ID26" s="338"/>
      <c r="IE26" s="132" t="str">
        <f>IF(HY26="","",HY26&amp;" ("&amp;HZ26&amp;")")</f>
        <v/>
      </c>
      <c r="IF26" s="351">
        <v>5</v>
      </c>
      <c r="IG26" s="339" t="str">
        <f>IF(IE26="","",IE26)</f>
        <v/>
      </c>
      <c r="IH26" s="348" t="str">
        <f>IF($AE23="","",$AE23)</f>
        <v/>
      </c>
      <c r="II26" s="132" t="str">
        <f>IF($AL20&lt;&gt;"",$AH20,IF($AL21&lt;&gt;"",$AH21,IF($AL22&lt;&gt;"",$AH22,IF($AL23&lt;&gt;"",$AH23,""))))</f>
        <v/>
      </c>
      <c r="IJ26" s="338" t="str">
        <f>IF(II26="","",VLOOKUP($II26,$CW$3:$DB$18,6,FALSE))</f>
        <v/>
      </c>
      <c r="IK26" s="338"/>
      <c r="IL26" s="338"/>
      <c r="IM26" s="338">
        <v>5</v>
      </c>
      <c r="IN26" s="338"/>
      <c r="IO26" s="132" t="str">
        <f>IF(II26="","",II26&amp;" ("&amp;IJ26&amp;")")</f>
        <v/>
      </c>
      <c r="IP26" s="351">
        <v>5</v>
      </c>
      <c r="IQ26" s="339" t="str">
        <f>IF(IO26="","",IO26)</f>
        <v/>
      </c>
      <c r="IU26" s="1112"/>
      <c r="IV26" s="701"/>
      <c r="IW26" s="699" t="str">
        <f t="shared" si="68"/>
        <v/>
      </c>
      <c r="IX26" s="700"/>
      <c r="IZ26" s="1112"/>
      <c r="JA26" s="701"/>
      <c r="JB26" s="699" t="str">
        <f t="shared" si="69"/>
        <v/>
      </c>
      <c r="JC26" s="700"/>
      <c r="JE26" s="1112"/>
      <c r="JF26" s="701"/>
      <c r="JG26" s="699" t="str">
        <f t="shared" si="70"/>
        <v/>
      </c>
      <c r="JH26" s="700"/>
      <c r="JI26" s="687"/>
      <c r="JJ26" s="1335"/>
      <c r="JK26" s="876">
        <v>66</v>
      </c>
      <c r="JL26" s="879" t="str">
        <f t="shared" si="108"/>
        <v/>
      </c>
      <c r="JM26" s="655" t="str">
        <f t="shared" si="71"/>
        <v/>
      </c>
      <c r="JN26" s="869" t="str">
        <f>IF($N$24="","",IF(AND($D$26=JL$11,$F$26&lt;&gt;""),$F$26,IF(AND($D$26=JL$11,$L$26&lt;&gt;""),$L$26,IF($D$26=JL$11,$M$26,""))))</f>
        <v/>
      </c>
      <c r="JO26" s="879" t="str">
        <f t="shared" si="109"/>
        <v/>
      </c>
      <c r="JP26" s="655" t="str">
        <f t="shared" si="72"/>
        <v/>
      </c>
      <c r="JQ26" s="869" t="str">
        <f>IF($N$24="","",IF(AND($D$26=JO$11,$F$26&lt;&gt;""),$F$26,IF(AND($D$26=JO$11,$L$26&lt;&gt;""),$L$26,IF($D$26=JO$11,$M$26,""))))</f>
        <v/>
      </c>
      <c r="JR26" s="879" t="str">
        <f t="shared" si="73"/>
        <v/>
      </c>
      <c r="JS26" s="655" t="str">
        <f t="shared" si="74"/>
        <v/>
      </c>
      <c r="JT26" s="869" t="str">
        <f>IF($N$24="","",IF(AND($D$26=JR$11,$F$26&lt;&gt;""),$F$26,IF(AND($D$26=JR$11,$L$26&lt;&gt;""),$L$26,IF($D$26=JR$11,$M$26,""))))</f>
        <v/>
      </c>
      <c r="JU26" s="879" t="str">
        <f t="shared" si="75"/>
        <v/>
      </c>
      <c r="JV26" s="655" t="str">
        <f t="shared" si="76"/>
        <v/>
      </c>
      <c r="JW26" s="869" t="str">
        <f>IF($N$24="","",IF(AND($D$26=JU$11,$F$26&lt;&gt;""),$F$26,IF(AND($D$26=JU$11,$L$26&lt;&gt;""),$L$26,IF($D$26=JU$11,$M$26,""))))</f>
        <v/>
      </c>
      <c r="JX26" s="879" t="str">
        <f t="shared" si="77"/>
        <v/>
      </c>
      <c r="JY26" s="655" t="str">
        <f t="shared" si="78"/>
        <v/>
      </c>
      <c r="JZ26" s="869" t="str">
        <f>IF($N$24="","",IF(AND($D$26=JX$11,$F$26&lt;&gt;""),$F$26,IF(AND($D$26=JX$11,$L$26&lt;&gt;""),$L$26,IF($D$26=JX$11,$M$26,""))))</f>
        <v/>
      </c>
      <c r="KA26" s="879" t="str">
        <f t="shared" si="79"/>
        <v/>
      </c>
      <c r="KB26" s="655" t="str">
        <f t="shared" si="80"/>
        <v/>
      </c>
      <c r="KC26" s="869" t="str">
        <f>IF($N$24="","",IF(AND($D$26=KA$11,$F$26&lt;&gt;""),$F$26,IF(AND($D$26=KA$11,$L$26&lt;&gt;""),$L$26,IF($D$26=KA$11,$M$26,""))))</f>
        <v/>
      </c>
      <c r="KD26" s="879" t="str">
        <f t="shared" si="81"/>
        <v/>
      </c>
      <c r="KE26" s="655" t="str">
        <f t="shared" si="82"/>
        <v/>
      </c>
      <c r="KF26" s="869" t="str">
        <f>IF($N$24="","",IF(AND($D$26=KD$11,$F$26&lt;&gt;""),$F$26,IF(AND($D$26=KD$11,$L$26&lt;&gt;""),$L$26,IF($D$26=KD$11,$M$26,""))))</f>
        <v/>
      </c>
      <c r="KG26" s="879" t="str">
        <f t="shared" si="83"/>
        <v/>
      </c>
      <c r="KH26" s="655" t="str">
        <f t="shared" si="84"/>
        <v/>
      </c>
      <c r="KI26" s="869" t="str">
        <f>IF($N$24="","",IF(AND($D$26=KG$11,$F$26&lt;&gt;""),$F$26,IF(AND($D$26=KG$11,$L$26&lt;&gt;""),$L$26,IF($D$26=KG$11,$M$26,""))))</f>
        <v/>
      </c>
      <c r="KJ26" s="879" t="str">
        <f t="shared" si="85"/>
        <v/>
      </c>
      <c r="KK26" s="655" t="str">
        <f t="shared" si="86"/>
        <v/>
      </c>
      <c r="KL26" s="869" t="str">
        <f>IF($N$24="","",IF(AND($D$26=KJ$11,$F$26&lt;&gt;""),$F$26,IF(AND($D$26=KJ$11,$L$26&lt;&gt;""),$L$26,IF($D$26=KJ$11,$M$26,""))))</f>
        <v/>
      </c>
      <c r="KM26" s="879" t="str">
        <f t="shared" si="87"/>
        <v/>
      </c>
      <c r="KN26" s="655" t="str">
        <f t="shared" si="88"/>
        <v/>
      </c>
      <c r="KO26" s="869" t="str">
        <f>IF($N$24="","",IF(AND($D$26=KM$11,$F$26&lt;&gt;""),$F$26,IF(AND($D$26=KM$11,$L$26&lt;&gt;""),$L$26,IF($D$26=KM$11,$M$26,""))))</f>
        <v/>
      </c>
      <c r="KP26" s="879" t="str">
        <f t="shared" si="89"/>
        <v/>
      </c>
      <c r="KQ26" s="655" t="str">
        <f t="shared" si="90"/>
        <v/>
      </c>
      <c r="KR26" s="869" t="str">
        <f>IF($N$24="","",IF(AND($D$26=KP$11,$F$26&lt;&gt;""),$F$26,IF(AND($D$26=KP$11,$L$26&lt;&gt;""),$L$26,IF($D$26=KP$11,$M$26,""))))</f>
        <v/>
      </c>
      <c r="KS26" s="879" t="str">
        <f t="shared" si="91"/>
        <v/>
      </c>
      <c r="KT26" s="655" t="str">
        <f t="shared" si="92"/>
        <v/>
      </c>
      <c r="KU26" s="869" t="str">
        <f>IF($N$24="","",IF(AND($D$26=KS$11,$F$26&lt;&gt;""),$F$26,IF(AND($D$26=KS$11,$L$26&lt;&gt;""),$L$26,IF($D$26=KS$11,$M$26,""))))</f>
        <v/>
      </c>
      <c r="KV26" s="879" t="str">
        <f t="shared" si="93"/>
        <v/>
      </c>
      <c r="KW26" s="655" t="str">
        <f t="shared" si="94"/>
        <v/>
      </c>
      <c r="KX26" s="869" t="str">
        <f>IF($N$24="","",IF(AND($D$26=KV$11,$F$26&lt;&gt;""),$F$26,IF(AND($D$26=KV$11,$L$26&lt;&gt;""),$L$26,IF($D$26=KV$11,$M$26,""))))</f>
        <v/>
      </c>
      <c r="KY26" s="879" t="str">
        <f t="shared" si="95"/>
        <v/>
      </c>
      <c r="KZ26" s="655" t="str">
        <f t="shared" si="96"/>
        <v/>
      </c>
      <c r="LA26" s="869" t="str">
        <f>IF($N$24="","",IF(AND($D$26=KY$11,$F$26&lt;&gt;""),$F$26,IF(AND($D$26=KY$11,$L$26&lt;&gt;""),$L$26,IF($D$26=KY$11,$M$26,""))))</f>
        <v/>
      </c>
      <c r="LB26" s="879" t="str">
        <f t="shared" si="97"/>
        <v/>
      </c>
      <c r="LC26" s="655" t="str">
        <f t="shared" si="98"/>
        <v/>
      </c>
      <c r="LD26" s="869" t="str">
        <f>IF($N$24="","",IF(AND($D$26=LB$11,$F$26&lt;&gt;""),$F$26,IF(AND($D$26=LB$11,$L$26&lt;&gt;""),$L$26,IF($D$26=LB$11,$M$26,""))))</f>
        <v/>
      </c>
      <c r="LE26" s="879" t="str">
        <f t="shared" si="99"/>
        <v/>
      </c>
      <c r="LF26" s="655" t="str">
        <f t="shared" si="100"/>
        <v/>
      </c>
      <c r="LG26" s="869" t="str">
        <f>IF($N$24="","",IF(AND($D$26=LE$11,$F$26&lt;&gt;""),$F$26,IF(AND($D$26=LE$11,$L$26&lt;&gt;""),$L$26,IF($D$26=LE$11,$M$26,""))))</f>
        <v/>
      </c>
      <c r="LH26"/>
      <c r="LI26"/>
      <c r="LJ26"/>
      <c r="LK26"/>
      <c r="LL26"/>
      <c r="LM26"/>
    </row>
    <row r="27" spans="1:325" ht="12.75" customHeight="1" thickBot="1">
      <c r="A27" s="918"/>
      <c r="B27" s="331">
        <v>9</v>
      </c>
      <c r="C27" s="103">
        <f t="shared" si="101"/>
        <v>1</v>
      </c>
      <c r="D27" s="519" t="str">
        <f t="shared" si="102"/>
        <v>Daniil Ivanov</v>
      </c>
      <c r="E27" s="1013"/>
      <c r="F27" s="1017" t="str">
        <f t="shared" si="47"/>
        <v/>
      </c>
      <c r="G27" s="547"/>
      <c r="H27" s="1197" t="str">
        <f t="shared" si="48"/>
        <v/>
      </c>
      <c r="I27" s="1197"/>
      <c r="J27" s="1197"/>
      <c r="K27" s="1197"/>
      <c r="L27" s="511"/>
      <c r="M27" s="149" t="str">
        <f>IF(N24="","",IF(N24="y",3,IF(N25="y",2,IF(N26="y",1,IF(N27="y",0,0)))))</f>
        <v/>
      </c>
      <c r="N27" s="708"/>
      <c r="O27" s="268"/>
      <c r="P27" s="918"/>
      <c r="Q27" s="331">
        <v>2</v>
      </c>
      <c r="R27" s="103">
        <f t="shared" si="49"/>
        <v>3</v>
      </c>
      <c r="S27" s="519" t="str">
        <f t="shared" si="50"/>
        <v>Dimitry Khomitsevich</v>
      </c>
      <c r="T27" s="1012"/>
      <c r="U27" s="1016" t="str">
        <f t="shared" si="51"/>
        <v/>
      </c>
      <c r="V27" s="546"/>
      <c r="W27" s="1197" t="str">
        <f t="shared" si="52"/>
        <v/>
      </c>
      <c r="X27" s="1197"/>
      <c r="Y27" s="1197"/>
      <c r="Z27" s="1197"/>
      <c r="AA27" s="511"/>
      <c r="AB27" s="149" t="str">
        <f>IF(AC24="","",IF(AC24="y",3,IF(AC25="y",2,IF(AC26="y",1,IF(AC27="y",0,0)))))</f>
        <v/>
      </c>
      <c r="AC27" s="725"/>
      <c r="AD27" s="269"/>
      <c r="AE27" s="918"/>
      <c r="AF27" s="331">
        <v>3</v>
      </c>
      <c r="AG27" s="103">
        <f t="shared" si="53"/>
        <v>10</v>
      </c>
      <c r="AH27" s="519" t="str">
        <f t="shared" si="54"/>
        <v>Franz Zorn</v>
      </c>
      <c r="AI27" s="1013"/>
      <c r="AJ27" s="1017" t="str">
        <f t="shared" si="55"/>
        <v/>
      </c>
      <c r="AK27" s="547"/>
      <c r="AL27" s="1197" t="str">
        <f t="shared" si="56"/>
        <v/>
      </c>
      <c r="AM27" s="1197"/>
      <c r="AN27" s="1197"/>
      <c r="AO27" s="1197"/>
      <c r="AP27" s="511"/>
      <c r="AQ27" s="528" t="str">
        <f>IF(AR24="","",IF(AR24="y",3,IF(AR25="y",2,IF(AR26="y",1,IF(AR27="y",0,0)))))</f>
        <v/>
      </c>
      <c r="AR27" s="725"/>
      <c r="AS27" s="268"/>
      <c r="AT27" s="689" t="str">
        <f t="shared" si="57"/>
        <v/>
      </c>
      <c r="AU27" s="65" t="str">
        <f t="shared" si="57"/>
        <v/>
      </c>
      <c r="AV27" s="94" t="str">
        <f t="shared" si="58"/>
        <v>Simon Reitsma</v>
      </c>
      <c r="AW27" s="3" t="str">
        <f t="shared" si="59"/>
        <v/>
      </c>
      <c r="AX27" s="4" t="str">
        <f t="shared" si="59"/>
        <v/>
      </c>
      <c r="AY27" s="4" t="str">
        <f t="shared" si="59"/>
        <v/>
      </c>
      <c r="AZ27" s="4" t="str">
        <f t="shared" si="59"/>
        <v/>
      </c>
      <c r="BA27" s="26" t="str">
        <f t="shared" si="59"/>
        <v/>
      </c>
      <c r="BB27" s="189">
        <f t="shared" si="59"/>
        <v>0</v>
      </c>
      <c r="BD27" s="192" t="str">
        <f t="shared" si="60"/>
        <v/>
      </c>
      <c r="BE27" s="131" t="str">
        <f t="shared" si="103"/>
        <v/>
      </c>
      <c r="BF27" s="95" t="str">
        <f t="shared" si="103"/>
        <v/>
      </c>
      <c r="BG27"/>
      <c r="BH27" s="390">
        <f t="shared" si="104"/>
        <v>4</v>
      </c>
      <c r="BI27" s="974">
        <v>3</v>
      </c>
      <c r="BK27" s="452">
        <v>1</v>
      </c>
      <c r="BO27" s="8" t="str">
        <f>$M27</f>
        <v/>
      </c>
      <c r="BT27" s="8" t="str">
        <f>$AB27</f>
        <v/>
      </c>
      <c r="BY27" s="8" t="str">
        <f>$AQ27</f>
        <v/>
      </c>
      <c r="BZ27" s="762">
        <v>16</v>
      </c>
      <c r="CA27" s="762" t="str">
        <f t="shared" si="110"/>
        <v/>
      </c>
      <c r="CB27" s="13">
        <v>4</v>
      </c>
      <c r="CG27" s="13">
        <v>1</v>
      </c>
      <c r="CH27" s="13" t="str">
        <f>VLOOKUP($CG27,$CU$27:$DC$44,3,FALSE)</f>
        <v>Daniil Ivanov</v>
      </c>
      <c r="CI27" s="770">
        <f t="shared" ref="CI27:CI44" si="111">VLOOKUP($CG27,$CU$27:$DC$44,9,FALSE)</f>
        <v>0</v>
      </c>
      <c r="CU27" s="13">
        <f>RANK(DP27,DP$27:DP$44)</f>
        <v>9</v>
      </c>
      <c r="CV27" s="13">
        <f t="shared" ref="CV27:DA42" si="112">CV3</f>
        <v>9</v>
      </c>
      <c r="CW27" s="13" t="str">
        <f t="shared" si="112"/>
        <v>Per-Anders Lindstrom</v>
      </c>
      <c r="CX27" s="13" t="str">
        <f t="shared" si="112"/>
        <v/>
      </c>
      <c r="CY27" s="13" t="str">
        <f t="shared" si="112"/>
        <v/>
      </c>
      <c r="CZ27" s="13" t="str">
        <f t="shared" si="112"/>
        <v/>
      </c>
      <c r="DA27" s="13" t="str">
        <f t="shared" si="112"/>
        <v/>
      </c>
      <c r="DC27" s="13">
        <f>SUM(CX27:DB27)</f>
        <v>0</v>
      </c>
      <c r="DD27" s="243">
        <f t="shared" ref="DD27:DD44" si="113">COUNTIF(CX27:DB27,3)</f>
        <v>0</v>
      </c>
      <c r="DE27" s="236">
        <f>IF(DD27=0,0,DD27/100)</f>
        <v>0</v>
      </c>
      <c r="DF27" s="232">
        <f t="shared" ref="DF27:DF44" si="114">COUNTIF(CX27:DB27,2)</f>
        <v>0</v>
      </c>
      <c r="DG27" s="234">
        <f>IF(DF27=0,0,DF27/1000)</f>
        <v>0</v>
      </c>
      <c r="DH27" s="232">
        <f t="shared" ref="DH27:DH44" si="115">COUNTIF(CX27:DB27,1)</f>
        <v>0</v>
      </c>
      <c r="DI27" s="41">
        <f>IF(DH27=0,0,DH27/10000)</f>
        <v>0</v>
      </c>
      <c r="DJ27" s="271">
        <f t="shared" ref="DJ27:DJ44" si="116">COUNTIF(CX27:DB27,0)</f>
        <v>0</v>
      </c>
      <c r="DK27" s="273">
        <f t="shared" ref="DK27:DK44" si="117">IF(DJ27=0,0,SUM(DJ27-GQ27)/100000)</f>
        <v>0</v>
      </c>
      <c r="DL27" s="281">
        <f t="shared" ref="DL27:DL42" si="118">IF(EY3=0,0,EY3/1000000)</f>
        <v>0</v>
      </c>
      <c r="DM27" s="239">
        <f t="shared" ref="DM27:DM44" si="119">DM3</f>
        <v>5.0999999999999999E-7</v>
      </c>
      <c r="DN27" s="495">
        <f t="shared" ref="DN27:DN44" si="120">SUM(DC27+DE27+DG27+DI27+DK27)</f>
        <v>0</v>
      </c>
      <c r="DO27" s="495">
        <f t="shared" ref="DO27:DO44" si="121">DN27+DL27</f>
        <v>0</v>
      </c>
      <c r="DP27" s="495">
        <f t="shared" ref="DP27:DP44" si="122">SUM(DO27+DM27)</f>
        <v>5.0999999999999999E-7</v>
      </c>
      <c r="DQ27" s="599"/>
      <c r="DR27" s="207"/>
      <c r="DS27" s="91">
        <f>IF($FO27=$FO$28,$CV3,"")</f>
        <v>9</v>
      </c>
      <c r="DT27" s="91">
        <f>IF($FO27=$FO$29,$CV3,"")</f>
        <v>9</v>
      </c>
      <c r="DU27" s="91">
        <f>IF($FO27=$FO$30,$CV3,"")</f>
        <v>9</v>
      </c>
      <c r="DV27" s="91">
        <f>IF($FO27=$FO$31,$CV3,"")</f>
        <v>9</v>
      </c>
      <c r="DW27" s="91">
        <f>IF($FO27=$FO$32,$CV3,"")</f>
        <v>9</v>
      </c>
      <c r="DX27" s="91">
        <f t="shared" ref="DX27:DX32" si="123">IF($FO27=$FO$33,$CV3,"")</f>
        <v>9</v>
      </c>
      <c r="DY27" s="91">
        <f t="shared" ref="DY27:DY33" si="124">IF($FO27=$FO$34,$CV3,"")</f>
        <v>9</v>
      </c>
      <c r="DZ27" s="91">
        <f t="shared" ref="DZ27:DZ34" si="125">IF($FO27=$FO$35,$CV3,"")</f>
        <v>9</v>
      </c>
      <c r="EA27" s="91">
        <f t="shared" ref="EA27:EA35" si="126">IF($FO27=$FO$36,$CV3,"")</f>
        <v>9</v>
      </c>
      <c r="EB27" s="91">
        <f t="shared" ref="EB27:EB36" si="127">IF($FO27=$FO$37,$CV3,"")</f>
        <v>9</v>
      </c>
      <c r="EC27" s="91">
        <f t="shared" ref="EC27:EC37" si="128">IF($FO27=$FO$38,$CV3,"")</f>
        <v>9</v>
      </c>
      <c r="ED27" s="91">
        <f t="shared" ref="ED27:ED38" si="129">IF($FO27=$FO$39,$CV3,"")</f>
        <v>9</v>
      </c>
      <c r="EE27" s="91">
        <f t="shared" ref="EE27:EE39" si="130">IF($FO27=$FO$40,$CV3,"")</f>
        <v>9</v>
      </c>
      <c r="EF27" s="91">
        <f t="shared" ref="EF27:EF40" si="131">IF($FO27=$FO$41,$CV3,"")</f>
        <v>9</v>
      </c>
      <c r="EG27" s="224">
        <f t="shared" ref="EG27:EG41" si="132">IF($FO27=$FO$42,$CV3,"")</f>
        <v>9</v>
      </c>
      <c r="EH27" s="214">
        <f>$R$2</f>
        <v>9</v>
      </c>
      <c r="EI27" s="207"/>
      <c r="EJ27" s="91" t="b">
        <f t="shared" ref="EJ27:EX27" si="133">IF(DS$27="","",FU$3)</f>
        <v>0</v>
      </c>
      <c r="EK27" s="91" t="b">
        <f t="shared" si="133"/>
        <v>0</v>
      </c>
      <c r="EL27" s="91" t="b">
        <f t="shared" si="133"/>
        <v>0</v>
      </c>
      <c r="EM27" s="91" t="b">
        <f t="shared" si="133"/>
        <v>0</v>
      </c>
      <c r="EN27" s="91" t="b">
        <f t="shared" si="133"/>
        <v>0</v>
      </c>
      <c r="EO27" s="91" t="b">
        <f t="shared" si="133"/>
        <v>0</v>
      </c>
      <c r="EP27" s="91" t="b">
        <f t="shared" si="133"/>
        <v>0</v>
      </c>
      <c r="EQ27" s="91" t="b">
        <f t="shared" si="133"/>
        <v>0</v>
      </c>
      <c r="ER27" s="91" t="b">
        <f t="shared" si="133"/>
        <v>0</v>
      </c>
      <c r="ES27" s="91" t="b">
        <f t="shared" si="133"/>
        <v>0</v>
      </c>
      <c r="ET27" s="91" t="b">
        <f t="shared" si="133"/>
        <v>0</v>
      </c>
      <c r="EU27" s="91" t="b">
        <f t="shared" si="133"/>
        <v>0</v>
      </c>
      <c r="EV27" s="91" t="b">
        <f t="shared" si="133"/>
        <v>0</v>
      </c>
      <c r="EW27" s="91" t="b">
        <f t="shared" si="133"/>
        <v>0</v>
      </c>
      <c r="EX27" s="224" t="b">
        <f t="shared" si="133"/>
        <v>0</v>
      </c>
      <c r="EY27" s="229">
        <f>COUNTIF($EI27:$EX27,$EH27)</f>
        <v>0</v>
      </c>
      <c r="EZ27" s="13">
        <f t="shared" ref="EZ27:EZ44" si="134">RANK(FY27,FY$27:FY$44)</f>
        <v>9</v>
      </c>
      <c r="FA27" s="657">
        <f t="shared" ref="FA27:FB44" si="135">CV27</f>
        <v>9</v>
      </c>
      <c r="FB27" s="654" t="str">
        <f t="shared" si="135"/>
        <v>Per-Anders Lindstrom</v>
      </c>
      <c r="FC27" s="655">
        <f>DC3</f>
        <v>0</v>
      </c>
      <c r="FD27" s="655">
        <f>COUNTIF(AH$32:AH$39,FB27)</f>
        <v>0</v>
      </c>
      <c r="FE27" s="655">
        <f>IF(FE45="","",IF(FE45=3,3,IF(FE45=2,2,IF(FE45=1,1,IF(FE45=0,0,0)))))</f>
        <v>0</v>
      </c>
      <c r="FF27" s="655">
        <f>COUNTIF(AH$40:AH$43,FB27)+COUNTIF(AH$32:AH$39,FB27)</f>
        <v>0</v>
      </c>
      <c r="FG27" s="658">
        <f t="shared" ref="FG27:FG44" si="136">IF(FG45="","",IF(FG45=3,3,IF(FG45=2,2,IF(FG45=1,1,IF(FG45=0,0,0)))))</f>
        <v>0</v>
      </c>
      <c r="FH27" s="656">
        <f>SUM(FC27+FE27+FG27)</f>
        <v>0</v>
      </c>
      <c r="FI27" s="659">
        <f>DO3</f>
        <v>0</v>
      </c>
      <c r="FJ27" s="663">
        <f>SUM(FI27-FC27)</f>
        <v>0</v>
      </c>
      <c r="FK27" s="664">
        <f>IF(AND($FD27=1,$FE27=3),SUM(1/100),0)</f>
        <v>0</v>
      </c>
      <c r="FL27" s="664">
        <f>IF(AND($FD27=1,$FE27=2),SUM(1/1000),0)</f>
        <v>0</v>
      </c>
      <c r="FM27" s="664">
        <f t="shared" ref="FM27:FM44" si="137">IF(AND($FD27=1,$FE27=1),SUM(1/10000),0)</f>
        <v>0</v>
      </c>
      <c r="FN27" s="290">
        <f>IF(AND($FF27=1,$FE27=0),SUM(1/100000),0)</f>
        <v>0</v>
      </c>
      <c r="FO27" s="665">
        <f t="shared" ref="FO27:FO32" si="138">SUM(FH27+SUM(FJ27:FN27))</f>
        <v>0</v>
      </c>
      <c r="FP27" s="762">
        <f t="shared" ref="FP27:FP44" si="139">IF(FF27=1,COUNTIF(GK$27:GK$30,FA27),0)</f>
        <v>0</v>
      </c>
      <c r="FQ27" s="316">
        <f t="shared" ref="FQ27:FQ44" si="140">IF(FF27=1,COUNTIF(GK$32:GK$35,FA27),0)</f>
        <v>0</v>
      </c>
      <c r="FR27" s="13">
        <f t="shared" ref="FR27:FR44" si="141">COUNTIF(FO$27:FO$44,FO27)</f>
        <v>18</v>
      </c>
      <c r="FS27" s="290">
        <f>IF($FP27=1,VLOOKUP($FA27,$GK$27:$GP$30,6,FALSE),IF(FQ27=1,VLOOKUP(FA27,GK$32:GP$35,6,FALSE),0))</f>
        <v>0</v>
      </c>
      <c r="FT27" s="1192">
        <f t="shared" ref="FT27:FT34" si="142">IF(FF27=2,SUM((FG27*10)+20),IF(FR27&gt;0,SUM(FO27+SUM(FS27/10000)+SUM(EY27/1000000))))</f>
        <v>0</v>
      </c>
      <c r="FU27" s="1192"/>
      <c r="FV27" s="1192"/>
      <c r="FW27" s="1192"/>
      <c r="FX27" s="676">
        <f t="shared" ref="FX27:FX44" si="143">DM3</f>
        <v>5.0999999999999999E-7</v>
      </c>
      <c r="FY27" s="1114">
        <f>IF(FG27=0.000000001,SUM(20+FH27),SUM(FT27:FX27))</f>
        <v>5.0999999999999999E-7</v>
      </c>
      <c r="FZ27" s="1114"/>
      <c r="GA27" s="1114"/>
      <c r="GB27" s="1114"/>
      <c r="GC27" s="1114"/>
      <c r="GK27" s="625" t="str">
        <f>AG32</f>
        <v/>
      </c>
      <c r="GL27" s="629" t="s">
        <v>197</v>
      </c>
      <c r="GM27" s="637" t="str">
        <f>IF(AQ32&gt;AQ33,GK27,IF(AQ32&lt;AQ33,GM26,""))</f>
        <v/>
      </c>
      <c r="GN27" s="637" t="str">
        <f>IF(AQ32&gt;AQ34,GK27,IF(AQ32&lt;AQ34,GN26,""))</f>
        <v/>
      </c>
      <c r="GO27" s="638" t="str">
        <f>IF(AQ32&gt;AQ35,GK27,IF(AQ32&lt;AQ35,GO26,""))</f>
        <v/>
      </c>
      <c r="GP27" s="681">
        <f>COUNTIF(GL27:GO27,GK27)</f>
        <v>3</v>
      </c>
      <c r="GW27" s="1145"/>
      <c r="GX27" s="231" t="str">
        <f>IF($N$24="","",IF($IW$27=$GX$3,$IX$27,IF(AND($H$27=$GX$3,$L$27&lt;&gt;""),$L$27,IF(AND($H$27=$GX$3,$L$27=""),$M$27,""))))</f>
        <v/>
      </c>
      <c r="GY27" s="302">
        <v>65</v>
      </c>
      <c r="GZ27" s="303" t="str">
        <f t="shared" si="105"/>
        <v/>
      </c>
      <c r="HA27" s="98" t="str">
        <f t="shared" si="62"/>
        <v/>
      </c>
      <c r="HB27" s="303"/>
      <c r="HC27" s="98" t="str">
        <f t="shared" si="106"/>
        <v/>
      </c>
      <c r="HG27" s="1145"/>
      <c r="HH27" s="231" t="str">
        <f>IF($N$24="","",IF($IW$27=$HH$3,$IX$27,IF(AND($H$27=$HH$3,$L$27&lt;&gt;""),$L$27,IF(AND($H$27=$HH$3,$L$27=""),$M$27,""))))</f>
        <v/>
      </c>
      <c r="HI27" s="302">
        <v>65</v>
      </c>
      <c r="HJ27" s="303" t="str">
        <f t="shared" si="107"/>
        <v/>
      </c>
      <c r="HK27" s="98" t="str">
        <f t="shared" si="63"/>
        <v/>
      </c>
      <c r="HL27" s="303"/>
      <c r="HM27" s="98" t="str">
        <f t="shared" si="64"/>
        <v/>
      </c>
      <c r="HN27" s="1148">
        <v>4</v>
      </c>
      <c r="HO27" s="346" t="str">
        <f>IF($H24="",$D24,$H24)</f>
        <v>Antonin Klatovsky</v>
      </c>
      <c r="HP27" s="883" t="str">
        <f>M24</f>
        <v/>
      </c>
      <c r="HQ27" s="335" t="str">
        <f>IF($L24="","",$L24)</f>
        <v/>
      </c>
      <c r="HR27" s="335">
        <v>0.04</v>
      </c>
      <c r="HS27" s="456" t="str">
        <f t="shared" ref="HS27:HS50" si="144">IF(HQ27&lt;&gt;"",-1,HP27)</f>
        <v/>
      </c>
      <c r="HT27" s="457" t="e">
        <f>RANK(HS27,HS27:HS30)+COUNTIF(HS27:HS27,HS27)-1</f>
        <v>#VALUE!</v>
      </c>
      <c r="HU27" s="335" t="str">
        <f>IF(HQ27="",HO27,HO27&amp;" ("&amp;HQ27&amp;")")</f>
        <v>Antonin Klatovsky</v>
      </c>
      <c r="HV27" s="347">
        <v>1</v>
      </c>
      <c r="HW27" s="336" t="str">
        <f>IF(N24="","",VLOOKUP(HV27,HT27:HU30,2,FALSE))</f>
        <v/>
      </c>
      <c r="HX27" s="1148">
        <v>12</v>
      </c>
      <c r="HY27" s="346" t="str">
        <f>IF($W24="",$S24,$W24)</f>
        <v>Vitaly Khomitsevich</v>
      </c>
      <c r="HZ27" s="335" t="str">
        <f>AB24</f>
        <v/>
      </c>
      <c r="IA27" s="335" t="str">
        <f>IF($AA24="","",$AA24)</f>
        <v/>
      </c>
      <c r="IB27" s="335">
        <v>0.04</v>
      </c>
      <c r="IC27" s="456" t="str">
        <f t="shared" ref="IC27:IC50" si="145">IF(IA27&lt;&gt;"",-1,HZ27)</f>
        <v/>
      </c>
      <c r="ID27" s="457" t="e">
        <f>RANK(IC27,IC27:IC30)+COUNTIF(IC27:IC27,IC27)-1</f>
        <v>#VALUE!</v>
      </c>
      <c r="IE27" s="335" t="str">
        <f>IF(IA27="",HY27,HY27&amp;" ("&amp;IA27&amp;")")</f>
        <v>Vitaly Khomitsevich</v>
      </c>
      <c r="IF27" s="350">
        <v>1</v>
      </c>
      <c r="IG27" s="336" t="str">
        <f>IF(AC24="","",VLOOKUP(IF27,ID27:IE30,2,FALSE))</f>
        <v/>
      </c>
      <c r="IH27" s="1148">
        <v>20</v>
      </c>
      <c r="II27" s="346" t="str">
        <f>IF($AL24="",$AH24,$AL24)</f>
        <v>Dimitry Koltakov</v>
      </c>
      <c r="IJ27" s="335" t="str">
        <f>AQ24</f>
        <v/>
      </c>
      <c r="IK27" s="335" t="str">
        <f>IF($AP24="","",$AP24)</f>
        <v/>
      </c>
      <c r="IL27" s="335">
        <v>0.04</v>
      </c>
      <c r="IM27" s="456" t="str">
        <f t="shared" si="67"/>
        <v/>
      </c>
      <c r="IN27" s="457" t="e">
        <f>RANK(IM27,IM27:IM30)+COUNTIF(IM27:IM27,IM27)-1</f>
        <v>#VALUE!</v>
      </c>
      <c r="IO27" s="335" t="str">
        <f>IF(IK27="",II27,II27&amp;" ("&amp;IK27&amp;")")</f>
        <v>Dimitry Koltakov</v>
      </c>
      <c r="IP27" s="350">
        <v>1</v>
      </c>
      <c r="IQ27" s="336" t="str">
        <f>IF(AR24="","",VLOOKUP(IP27,IN27:IO30,2,FALSE))</f>
        <v/>
      </c>
      <c r="IU27" s="1113"/>
      <c r="IV27" s="702"/>
      <c r="IW27" s="703" t="str">
        <f t="shared" si="68"/>
        <v/>
      </c>
      <c r="IX27" s="704"/>
      <c r="IZ27" s="1113"/>
      <c r="JA27" s="702"/>
      <c r="JB27" s="703" t="str">
        <f t="shared" si="69"/>
        <v/>
      </c>
      <c r="JC27" s="704"/>
      <c r="JE27" s="1113"/>
      <c r="JF27" s="702"/>
      <c r="JG27" s="703" t="str">
        <f t="shared" si="70"/>
        <v/>
      </c>
      <c r="JH27" s="704"/>
      <c r="JI27" s="687"/>
      <c r="JJ27" s="1336"/>
      <c r="JK27" s="877">
        <v>65</v>
      </c>
      <c r="JL27" s="880" t="str">
        <f t="shared" si="108"/>
        <v/>
      </c>
      <c r="JM27" s="874" t="str">
        <f t="shared" si="71"/>
        <v/>
      </c>
      <c r="JN27" s="870" t="str">
        <f>IF($N$24="","",IF(AND($D$27=JL$11,$F$27&lt;&gt;""),$F$27,IF(AND($D$27=JL$11,$L$27&lt;&gt;""),$L$27,IF($D$27=JL$11,$M$27,""))))</f>
        <v/>
      </c>
      <c r="JO27" s="880" t="str">
        <f t="shared" si="109"/>
        <v/>
      </c>
      <c r="JP27" s="874" t="str">
        <f t="shared" si="72"/>
        <v/>
      </c>
      <c r="JQ27" s="870" t="str">
        <f>IF($N$24="","",IF(AND($D$27=JO$11,$F$27&lt;&gt;""),$F$27,IF(AND($D$27=JO$11,$L$27&lt;&gt;""),$L$27,IF($D$27=JO$11,$M$27,""))))</f>
        <v/>
      </c>
      <c r="JR27" s="880" t="str">
        <f t="shared" si="73"/>
        <v/>
      </c>
      <c r="JS27" s="874" t="str">
        <f t="shared" si="74"/>
        <v/>
      </c>
      <c r="JT27" s="870" t="str">
        <f>IF($N$24="","",IF(AND($D$27=JR$11,$F$27&lt;&gt;""),$F$27,IF(AND($D$27=JR$11,$L$27&lt;&gt;""),$L$27,IF($D$27=JR$11,$M$27,""))))</f>
        <v/>
      </c>
      <c r="JU27" s="880" t="str">
        <f t="shared" si="75"/>
        <v/>
      </c>
      <c r="JV27" s="874" t="str">
        <f t="shared" si="76"/>
        <v/>
      </c>
      <c r="JW27" s="870" t="str">
        <f>IF($N$24="","",IF(AND($D$27=JU$11,$F$27&lt;&gt;""),$F$27,IF(AND($D$27=JU$11,$L$27&lt;&gt;""),$L$27,IF($D$27=JU$11,$M$27,""))))</f>
        <v/>
      </c>
      <c r="JX27" s="880" t="str">
        <f t="shared" si="77"/>
        <v/>
      </c>
      <c r="JY27" s="874" t="str">
        <f t="shared" si="78"/>
        <v/>
      </c>
      <c r="JZ27" s="870" t="str">
        <f>IF($N$24="","",IF(AND($D$27=JX$11,$F$27&lt;&gt;""),$F$27,IF(AND($D$27=JX$11,$L$27&lt;&gt;""),$L$27,IF($D$27=JX$11,$M$27,""))))</f>
        <v/>
      </c>
      <c r="KA27" s="880" t="str">
        <f t="shared" si="79"/>
        <v/>
      </c>
      <c r="KB27" s="874" t="str">
        <f t="shared" si="80"/>
        <v/>
      </c>
      <c r="KC27" s="870" t="str">
        <f>IF($N$24="","",IF(AND($D$27=KA$11,$F$27&lt;&gt;""),$F$27,IF(AND($D$27=KA$11,$L$27&lt;&gt;""),$L$27,IF($D$27=KA$11,$M$27,""))))</f>
        <v/>
      </c>
      <c r="KD27" s="880" t="str">
        <f t="shared" si="81"/>
        <v/>
      </c>
      <c r="KE27" s="874" t="str">
        <f t="shared" si="82"/>
        <v/>
      </c>
      <c r="KF27" s="870" t="str">
        <f>IF($N$24="","",IF(AND($D$27=KD$11,$F$27&lt;&gt;""),$F$27,IF(AND($D$27=KD$11,$L$27&lt;&gt;""),$L$27,IF($D$27=KD$11,$M$27,""))))</f>
        <v/>
      </c>
      <c r="KG27" s="880" t="str">
        <f t="shared" si="83"/>
        <v/>
      </c>
      <c r="KH27" s="874" t="str">
        <f t="shared" si="84"/>
        <v/>
      </c>
      <c r="KI27" s="870" t="str">
        <f>IF($N$24="","",IF(AND($D$27=KG$11,$F$27&lt;&gt;""),$F$27,IF(AND($D$27=KG$11,$L$27&lt;&gt;""),$L$27,IF($D$27=KG$11,$M$27,""))))</f>
        <v/>
      </c>
      <c r="KJ27" s="880" t="str">
        <f t="shared" si="85"/>
        <v/>
      </c>
      <c r="KK27" s="874" t="str">
        <f t="shared" si="86"/>
        <v/>
      </c>
      <c r="KL27" s="870" t="str">
        <f>IF($N$24="","",IF(AND($D$27=KJ$11,$F$27&lt;&gt;""),$F$27,IF(AND($D$27=KJ$11,$L$27&lt;&gt;""),$L$27,IF($D$27=KJ$11,$M$27,""))))</f>
        <v/>
      </c>
      <c r="KM27" s="880" t="str">
        <f t="shared" si="87"/>
        <v/>
      </c>
      <c r="KN27" s="874" t="str">
        <f t="shared" si="88"/>
        <v/>
      </c>
      <c r="KO27" s="870" t="str">
        <f>IF($N$24="","",IF(AND($D$27=KM$11,$F$27&lt;&gt;""),$F$27,IF(AND($D$27=KM$11,$L$27&lt;&gt;""),$L$27,IF($D$27=KM$11,$M$27,""))))</f>
        <v/>
      </c>
      <c r="KP27" s="880" t="str">
        <f t="shared" si="89"/>
        <v/>
      </c>
      <c r="KQ27" s="874" t="str">
        <f t="shared" si="90"/>
        <v/>
      </c>
      <c r="KR27" s="870" t="str">
        <f>IF($N$24="","",IF(AND($D$27=KP$11,$F$27&lt;&gt;""),$F$27,IF(AND($D$27=KP$11,$L$27&lt;&gt;""),$L$27,IF($D$27=KP$11,$M$27,""))))</f>
        <v/>
      </c>
      <c r="KS27" s="880" t="str">
        <f t="shared" si="91"/>
        <v/>
      </c>
      <c r="KT27" s="874" t="str">
        <f t="shared" si="92"/>
        <v/>
      </c>
      <c r="KU27" s="870" t="str">
        <f>IF($N$24="","",IF(AND($D$27=KS$11,$F$27&lt;&gt;""),$F$27,IF(AND($D$27=KS$11,$L$27&lt;&gt;""),$L$27,IF($D$27=KS$11,$M$27,""))))</f>
        <v/>
      </c>
      <c r="KV27" s="880" t="str">
        <f t="shared" si="93"/>
        <v/>
      </c>
      <c r="KW27" s="874" t="str">
        <f t="shared" si="94"/>
        <v/>
      </c>
      <c r="KX27" s="870" t="str">
        <f>IF($N$24="","",IF(AND($D$27=KV$11,$F$27&lt;&gt;""),$F$27,IF(AND($D$27=KV$11,$L$27&lt;&gt;""),$L$27,IF($D$27=KV$11,$M$27,""))))</f>
        <v/>
      </c>
      <c r="KY27" s="880" t="str">
        <f t="shared" si="95"/>
        <v/>
      </c>
      <c r="KZ27" s="874" t="str">
        <f t="shared" si="96"/>
        <v/>
      </c>
      <c r="LA27" s="870" t="str">
        <f>IF($N$24="","",IF(AND($D$27=KY$11,$F$27&lt;&gt;""),$F$27,IF(AND($D$27=KY$11,$L$27&lt;&gt;""),$L$27,IF($D$27=KY$11,$M$27,""))))</f>
        <v/>
      </c>
      <c r="LB27" s="880" t="str">
        <f t="shared" si="97"/>
        <v/>
      </c>
      <c r="LC27" s="874" t="str">
        <f t="shared" si="98"/>
        <v/>
      </c>
      <c r="LD27" s="870" t="str">
        <f>IF($N$24="","",IF(AND($D$27=LB$11,$F$27&lt;&gt;""),$F$27,IF(AND($D$27=LB$11,$L$27&lt;&gt;""),$L$27,IF($D$27=LB$11,$M$27,""))))</f>
        <v/>
      </c>
      <c r="LE27" s="880" t="str">
        <f t="shared" si="99"/>
        <v/>
      </c>
      <c r="LF27" s="874" t="str">
        <f t="shared" si="100"/>
        <v/>
      </c>
      <c r="LG27" s="870" t="str">
        <f>IF($N$24="","",IF(AND($D$27=LE$11,$F$27&lt;&gt;""),$F$27,IF(AND($D$27=LE$11,$L$27&lt;&gt;""),$L$27,IF($D$27=LE$11,$M$27,""))))</f>
        <v/>
      </c>
      <c r="LH27"/>
      <c r="LI27"/>
      <c r="LJ27"/>
      <c r="LK27"/>
      <c r="LL27"/>
      <c r="LM27"/>
    </row>
    <row r="28" spans="1:325" ht="12.75" customHeight="1" thickBot="1">
      <c r="A28" s="1211">
        <v>5</v>
      </c>
      <c r="B28" s="329">
        <v>9</v>
      </c>
      <c r="C28" s="106">
        <f t="shared" si="101"/>
        <v>1</v>
      </c>
      <c r="D28" s="516" t="str">
        <f t="shared" si="102"/>
        <v>Daniil Ivanov</v>
      </c>
      <c r="E28" s="1010"/>
      <c r="F28" s="1014" t="str">
        <f t="shared" si="47"/>
        <v/>
      </c>
      <c r="G28" s="544"/>
      <c r="H28" s="1210" t="str">
        <f t="shared" si="48"/>
        <v/>
      </c>
      <c r="I28" s="1210"/>
      <c r="J28" s="1210"/>
      <c r="K28" s="1210"/>
      <c r="L28" s="510"/>
      <c r="M28" s="93" t="str">
        <f>IF(N28="","",IF(N28="R",3,IF(N29="R",2,IF(N30="R",1,IF(N31="R",0,0)))))</f>
        <v/>
      </c>
      <c r="N28" s="706"/>
      <c r="O28" s="268"/>
      <c r="P28" s="1211">
        <v>13</v>
      </c>
      <c r="Q28" s="329">
        <v>3</v>
      </c>
      <c r="R28" s="106">
        <f t="shared" si="49"/>
        <v>10</v>
      </c>
      <c r="S28" s="516" t="str">
        <f t="shared" si="50"/>
        <v>Franz Zorn</v>
      </c>
      <c r="T28" s="1010"/>
      <c r="U28" s="1014" t="str">
        <f t="shared" si="51"/>
        <v/>
      </c>
      <c r="V28" s="544"/>
      <c r="W28" s="1210" t="str">
        <f t="shared" si="52"/>
        <v/>
      </c>
      <c r="X28" s="1210"/>
      <c r="Y28" s="1210"/>
      <c r="Z28" s="1210"/>
      <c r="AA28" s="510"/>
      <c r="AB28" s="93" t="str">
        <f>IF(AC28="","",IF(AC28="R",3,IF(AC29="R",2,IF(AC30="R",1,IF(AC31="R",0,0)))))</f>
        <v/>
      </c>
      <c r="AC28" s="723"/>
      <c r="AD28" s="269"/>
      <c r="AH28" s="8"/>
      <c r="AI28" s="8"/>
      <c r="AJ28" s="8"/>
      <c r="AK28" s="8"/>
      <c r="AQ28" s="529"/>
      <c r="AR28" s="20"/>
      <c r="AT28" s="689" t="str">
        <f t="shared" si="57"/>
        <v/>
      </c>
      <c r="AU28" s="65" t="str">
        <f t="shared" si="57"/>
        <v/>
      </c>
      <c r="AV28" s="94" t="str">
        <f t="shared" si="58"/>
        <v>Max Niedermaier</v>
      </c>
      <c r="AW28" s="3" t="str">
        <f t="shared" si="59"/>
        <v/>
      </c>
      <c r="AX28" s="4" t="str">
        <f t="shared" si="59"/>
        <v/>
      </c>
      <c r="AY28" s="4" t="str">
        <f t="shared" si="59"/>
        <v/>
      </c>
      <c r="AZ28" s="4" t="str">
        <f t="shared" si="59"/>
        <v/>
      </c>
      <c r="BA28" s="26" t="str">
        <f t="shared" si="59"/>
        <v/>
      </c>
      <c r="BB28" s="189">
        <f t="shared" si="59"/>
        <v>0</v>
      </c>
      <c r="BD28" s="192" t="str">
        <f t="shared" si="60"/>
        <v/>
      </c>
      <c r="BE28" s="131" t="str">
        <f t="shared" si="103"/>
        <v/>
      </c>
      <c r="BF28" s="95" t="str">
        <f t="shared" si="103"/>
        <v/>
      </c>
      <c r="BG28"/>
      <c r="BH28" s="390">
        <f t="shared" si="104"/>
        <v>4</v>
      </c>
      <c r="BI28" s="974">
        <v>2</v>
      </c>
      <c r="BL28" s="8" t="str">
        <f>$M28</f>
        <v/>
      </c>
      <c r="BQ28" s="8" t="str">
        <f>$AB28</f>
        <v/>
      </c>
      <c r="BY28" s="8"/>
      <c r="BZ28" s="762">
        <v>17</v>
      </c>
      <c r="CA28" s="762" t="str">
        <f>(AB10)</f>
        <v/>
      </c>
      <c r="CB28" s="13">
        <v>1</v>
      </c>
      <c r="CG28" s="13">
        <v>2</v>
      </c>
      <c r="CH28" s="13" t="str">
        <f t="shared" ref="CH28:CH44" si="146">VLOOKUP(CG28,CU$27:DC$44,3,FALSE)</f>
        <v>Dimitry Koltakov</v>
      </c>
      <c r="CI28" s="770">
        <f t="shared" si="111"/>
        <v>0</v>
      </c>
      <c r="CU28" s="13">
        <f t="shared" ref="CU28:CU44" si="147">RANK(DP28,DP$27:DP$44)</f>
        <v>3</v>
      </c>
      <c r="CV28" s="13">
        <f t="shared" si="112"/>
        <v>3</v>
      </c>
      <c r="CW28" s="13" t="str">
        <f t="shared" si="112"/>
        <v>Dimitry Khomitsevich</v>
      </c>
      <c r="CX28" s="13" t="str">
        <f t="shared" si="112"/>
        <v/>
      </c>
      <c r="CY28" s="13" t="str">
        <f t="shared" si="112"/>
        <v/>
      </c>
      <c r="CZ28" s="13" t="str">
        <f t="shared" si="112"/>
        <v/>
      </c>
      <c r="DA28" s="13" t="str">
        <f t="shared" si="112"/>
        <v/>
      </c>
      <c r="DC28" s="13">
        <f t="shared" ref="DC28:DC44" si="148">SUM(CX28:DB28)</f>
        <v>0</v>
      </c>
      <c r="DD28" s="243">
        <f t="shared" si="113"/>
        <v>0</v>
      </c>
      <c r="DE28" s="236">
        <f t="shared" ref="DE28:DE44" si="149">IF(DD28=0,0,DD28/100)</f>
        <v>0</v>
      </c>
      <c r="DF28" s="232">
        <f t="shared" si="114"/>
        <v>0</v>
      </c>
      <c r="DG28" s="234">
        <f t="shared" ref="DG28:DG44" si="150">IF(DF28=0,0,DF28/1000)</f>
        <v>0</v>
      </c>
      <c r="DH28" s="232">
        <f t="shared" si="115"/>
        <v>0</v>
      </c>
      <c r="DI28" s="41">
        <f t="shared" ref="DI28:DI44" si="151">IF(DH28=0,0,DH28/10000)</f>
        <v>0</v>
      </c>
      <c r="DJ28" s="271">
        <f t="shared" si="116"/>
        <v>0</v>
      </c>
      <c r="DK28" s="273">
        <f t="shared" si="117"/>
        <v>0</v>
      </c>
      <c r="DL28" s="281">
        <f t="shared" si="118"/>
        <v>0</v>
      </c>
      <c r="DM28" s="238">
        <f t="shared" si="119"/>
        <v>5.7000000000000005E-7</v>
      </c>
      <c r="DN28" s="284">
        <f t="shared" si="120"/>
        <v>0</v>
      </c>
      <c r="DO28" s="284">
        <f t="shared" si="121"/>
        <v>0</v>
      </c>
      <c r="DP28" s="284">
        <f t="shared" si="122"/>
        <v>5.7000000000000005E-7</v>
      </c>
      <c r="DQ28" s="597"/>
      <c r="DR28" s="205">
        <f t="shared" ref="DR28:DR42" si="152">IF($FO28=$FO$27,$CV4,"")</f>
        <v>3</v>
      </c>
      <c r="DS28" s="208"/>
      <c r="DT28" s="4">
        <f>IF($FO28=$FO$29,$CV4,"")</f>
        <v>3</v>
      </c>
      <c r="DU28" s="4">
        <f>IF($FO28=$FO$30,$CV4,"")</f>
        <v>3</v>
      </c>
      <c r="DV28" s="4">
        <f>IF($FO28=$FO$31,$CV4,"")</f>
        <v>3</v>
      </c>
      <c r="DW28" s="4">
        <f>IF($FO28=$FO$32,$CV4,"")</f>
        <v>3</v>
      </c>
      <c r="DX28" s="4">
        <f t="shared" si="123"/>
        <v>3</v>
      </c>
      <c r="DY28" s="4">
        <f t="shared" si="124"/>
        <v>3</v>
      </c>
      <c r="DZ28" s="4">
        <f t="shared" si="125"/>
        <v>3</v>
      </c>
      <c r="EA28" s="4">
        <f t="shared" si="126"/>
        <v>3</v>
      </c>
      <c r="EB28" s="4">
        <f t="shared" si="127"/>
        <v>3</v>
      </c>
      <c r="EC28" s="4">
        <f t="shared" si="128"/>
        <v>3</v>
      </c>
      <c r="ED28" s="4">
        <f t="shared" si="129"/>
        <v>3</v>
      </c>
      <c r="EE28" s="4">
        <f t="shared" si="130"/>
        <v>3</v>
      </c>
      <c r="EF28" s="4">
        <f t="shared" si="131"/>
        <v>3</v>
      </c>
      <c r="EG28" s="225">
        <f t="shared" si="132"/>
        <v>3</v>
      </c>
      <c r="EH28" s="215">
        <f>$R$3</f>
        <v>3</v>
      </c>
      <c r="EI28" s="205" t="b">
        <f>IF(DR$28="","",FT$4)</f>
        <v>0</v>
      </c>
      <c r="EJ28" s="208"/>
      <c r="EK28" s="4" t="b">
        <f t="shared" ref="EK28:EX28" si="153">IF(DT$28="","",FV$4)</f>
        <v>0</v>
      </c>
      <c r="EL28" s="4" t="b">
        <f t="shared" si="153"/>
        <v>0</v>
      </c>
      <c r="EM28" s="4" t="b">
        <f t="shared" si="153"/>
        <v>0</v>
      </c>
      <c r="EN28" s="4" t="b">
        <f t="shared" si="153"/>
        <v>0</v>
      </c>
      <c r="EO28" s="4" t="b">
        <f t="shared" si="153"/>
        <v>0</v>
      </c>
      <c r="EP28" s="4" t="b">
        <f t="shared" si="153"/>
        <v>0</v>
      </c>
      <c r="EQ28" s="4" t="b">
        <f t="shared" si="153"/>
        <v>0</v>
      </c>
      <c r="ER28" s="4" t="b">
        <f t="shared" si="153"/>
        <v>0</v>
      </c>
      <c r="ES28" s="4" t="b">
        <f t="shared" si="153"/>
        <v>0</v>
      </c>
      <c r="ET28" s="4" t="b">
        <f t="shared" si="153"/>
        <v>0</v>
      </c>
      <c r="EU28" s="4" t="b">
        <f t="shared" si="153"/>
        <v>0</v>
      </c>
      <c r="EV28" s="4" t="b">
        <f t="shared" si="153"/>
        <v>0</v>
      </c>
      <c r="EW28" s="4" t="b">
        <f t="shared" si="153"/>
        <v>0</v>
      </c>
      <c r="EX28" s="225" t="b">
        <f t="shared" si="153"/>
        <v>0</v>
      </c>
      <c r="EY28" s="230">
        <f t="shared" ref="EY28:EY42" si="154">COUNTIF($EI28:$EX28,$EH28)</f>
        <v>0</v>
      </c>
      <c r="EZ28" s="13">
        <f t="shared" si="134"/>
        <v>3</v>
      </c>
      <c r="FA28" s="657">
        <f t="shared" si="135"/>
        <v>3</v>
      </c>
      <c r="FB28" s="654" t="str">
        <f t="shared" si="135"/>
        <v>Dimitry Khomitsevich</v>
      </c>
      <c r="FC28" s="655">
        <f t="shared" ref="FC28:FC44" si="155">DC4</f>
        <v>0</v>
      </c>
      <c r="FD28" s="655">
        <f t="shared" ref="FD28:FD44" si="156">COUNTIF(AH$32:AH$39,FB28)</f>
        <v>0</v>
      </c>
      <c r="FE28" s="655">
        <f t="shared" ref="FE28:FE44" si="157">IF(FE46="","",IF(FE46=3,3,IF(FE46=2,2,IF(FE46=1,1,IF(FE46=0,0,0)))))</f>
        <v>0</v>
      </c>
      <c r="FF28" s="655">
        <f t="shared" ref="FF28:FF44" si="158">COUNTIF(AH$40:AH$43,FB28)+COUNTIF(AH$32:AH$39,FB28)</f>
        <v>0</v>
      </c>
      <c r="FG28" s="658">
        <f t="shared" si="136"/>
        <v>0</v>
      </c>
      <c r="FH28" s="656">
        <f t="shared" ref="FH28:FH44" si="159">SUM(FC28+FE28+FG28)</f>
        <v>0</v>
      </c>
      <c r="FI28" s="660">
        <f t="shared" ref="FI28:FI44" si="160">DO4</f>
        <v>0</v>
      </c>
      <c r="FJ28" s="663">
        <f t="shared" ref="FJ28:FJ44" si="161">SUM(FI28-FC28)</f>
        <v>0</v>
      </c>
      <c r="FK28" s="762">
        <f t="shared" ref="FK28:FK44" si="162">IF(AND($FD28=1,$FE28=3),SUM(1/100),0)</f>
        <v>0</v>
      </c>
      <c r="FL28" s="762">
        <f t="shared" ref="FL28:FL44" si="163">IF(AND($FD28=1,$FE28=2),SUM(1/1000),0)</f>
        <v>0</v>
      </c>
      <c r="FM28" s="762">
        <f t="shared" si="137"/>
        <v>0</v>
      </c>
      <c r="FN28" s="665">
        <f t="shared" ref="FN28:FN44" si="164">IF(AND($FF28=1,$FE28=0),SUM(1/100000),0)</f>
        <v>0</v>
      </c>
      <c r="FO28" s="665">
        <f t="shared" si="138"/>
        <v>0</v>
      </c>
      <c r="FP28" s="762">
        <f t="shared" si="139"/>
        <v>0</v>
      </c>
      <c r="FQ28" s="316">
        <f t="shared" si="140"/>
        <v>0</v>
      </c>
      <c r="FR28" s="13">
        <f t="shared" si="141"/>
        <v>18</v>
      </c>
      <c r="FS28" s="290">
        <f t="shared" ref="FS28:FS44" si="165">IF($FP28=1,VLOOKUP($FA28,$GK$27:$GP$30,6,FALSE),IF(FQ28=1,VLOOKUP(FA28,GK$32:GP$35,6,FALSE),0))</f>
        <v>0</v>
      </c>
      <c r="FT28" s="1192">
        <f t="shared" si="142"/>
        <v>0</v>
      </c>
      <c r="FU28" s="1192"/>
      <c r="FV28" s="1192"/>
      <c r="FW28" s="1192"/>
      <c r="FX28" s="762">
        <f t="shared" si="143"/>
        <v>5.7000000000000005E-7</v>
      </c>
      <c r="FY28" s="1114">
        <f>IF(FG28=0.000000001,SUM(20+FH28),SUM(FT28:FX28))</f>
        <v>5.7000000000000005E-7</v>
      </c>
      <c r="FZ28" s="1114"/>
      <c r="GA28" s="1114"/>
      <c r="GB28" s="1114"/>
      <c r="GC28" s="1114"/>
      <c r="GK28" s="626" t="str">
        <f>AG33</f>
        <v/>
      </c>
      <c r="GL28" s="634" t="str">
        <f>IF(AQ33&gt;AQ32,GK28,IF(AQ33&lt;AQ32,GL26,""))</f>
        <v/>
      </c>
      <c r="GM28" s="628" t="s">
        <v>197</v>
      </c>
      <c r="GN28" s="635" t="str">
        <f>IF(AQ33&gt;AQ34,GK28,IF(AQ33&lt;AQ34,GN26,""))</f>
        <v/>
      </c>
      <c r="GO28" s="636" t="str">
        <f>IF(AQ33&gt;AQ35,GK28,IF(AQ33&lt;AQ35,GO26,""))</f>
        <v/>
      </c>
      <c r="GP28" s="682">
        <f>COUNTIF(GL28:GO28,GK28)</f>
        <v>3</v>
      </c>
      <c r="GW28" s="1143">
        <v>5</v>
      </c>
      <c r="GX28" s="229" t="str">
        <f>IF($N$28="","",IF($IW$28=$GX$3,$IX$28,IF(AND($H$28=$GX$3,$L$28&lt;&gt;""),$L$28,IF(AND($H$28=$GX$3,$L$28=""),$M$28,""))))</f>
        <v/>
      </c>
      <c r="GY28" s="299">
        <v>64</v>
      </c>
      <c r="GZ28" s="300" t="str">
        <f t="shared" si="105"/>
        <v/>
      </c>
      <c r="HA28" s="93" t="str">
        <f t="shared" si="62"/>
        <v/>
      </c>
      <c r="HB28" s="300"/>
      <c r="HC28" s="93" t="str">
        <f t="shared" si="106"/>
        <v/>
      </c>
      <c r="HG28" s="1143">
        <v>5</v>
      </c>
      <c r="HH28" s="229" t="str">
        <f>IF($N$28="","",IF($IW$28=$HH$3,$IX$28,IF(AND($H$28=$HH$3,$L$28&lt;&gt;""),$L$28,IF(AND($H$28=$HH$3,$L$28=""),$M$28,""))))</f>
        <v/>
      </c>
      <c r="HI28" s="299">
        <v>64</v>
      </c>
      <c r="HJ28" s="300" t="str">
        <f t="shared" si="107"/>
        <v/>
      </c>
      <c r="HK28" s="93" t="str">
        <f t="shared" si="63"/>
        <v/>
      </c>
      <c r="HL28" s="300"/>
      <c r="HM28" s="93" t="str">
        <f t="shared" si="64"/>
        <v/>
      </c>
      <c r="HN28" s="1149"/>
      <c r="HO28" s="131" t="str">
        <f>IF($H25="",$D25,$H25)</f>
        <v>Igor Kononov</v>
      </c>
      <c r="HP28" s="884" t="str">
        <f>M25</f>
        <v/>
      </c>
      <c r="HQ28" s="327" t="str">
        <f>IF($L25="","",$L25)</f>
        <v/>
      </c>
      <c r="HR28" s="327">
        <v>0.03</v>
      </c>
      <c r="HS28" s="458" t="str">
        <f t="shared" si="144"/>
        <v/>
      </c>
      <c r="HT28" s="327" t="e">
        <f>RANK(HS28,HS27:HS30)+COUNTIF(HS27:HS28,HS28)-1</f>
        <v>#VALUE!</v>
      </c>
      <c r="HU28" s="327" t="str">
        <f>IF(HQ28="",HO28,HO28&amp;" ("&amp;HQ28&amp;")")</f>
        <v>Igor Kononov</v>
      </c>
      <c r="HV28" s="328">
        <v>2</v>
      </c>
      <c r="HW28" s="337" t="str">
        <f>IF(N24="","",VLOOKUP(HV28,HT27:HU30,2,FALSE))</f>
        <v/>
      </c>
      <c r="HX28" s="1149"/>
      <c r="HY28" s="131" t="str">
        <f>IF($W25="",$S25,$W25)</f>
        <v>Hans Weber</v>
      </c>
      <c r="HZ28" s="327" t="str">
        <f>AB25</f>
        <v/>
      </c>
      <c r="IA28" s="327" t="str">
        <f>IF($AA25="","",$AA25)</f>
        <v/>
      </c>
      <c r="IB28" s="327">
        <v>0.03</v>
      </c>
      <c r="IC28" s="458" t="str">
        <f t="shared" si="145"/>
        <v/>
      </c>
      <c r="ID28" s="327" t="e">
        <f>RANK(IC28,IC27:IC30)+COUNTIF(IC27:IC28,IC28)-1</f>
        <v>#VALUE!</v>
      </c>
      <c r="IE28" s="327" t="str">
        <f>IF(IA28="",HY28,HY28&amp;" ("&amp;IA28&amp;")")</f>
        <v>Hans Weber</v>
      </c>
      <c r="IF28" s="344">
        <v>2</v>
      </c>
      <c r="IG28" s="337" t="str">
        <f>IF(AC24="","",VLOOKUP(IF28,ID27:IE30,2,FALSE))</f>
        <v/>
      </c>
      <c r="IH28" s="1149"/>
      <c r="II28" s="131" t="str">
        <f>IF($AL25="",$AH25,$AL25)</f>
        <v>Antonin Klatovsky</v>
      </c>
      <c r="IJ28" s="327" t="str">
        <f>AQ25</f>
        <v/>
      </c>
      <c r="IK28" s="327" t="str">
        <f>IF($AP25="","",$AP25)</f>
        <v/>
      </c>
      <c r="IL28" s="327">
        <v>0.03</v>
      </c>
      <c r="IM28" s="327" t="str">
        <f t="shared" si="67"/>
        <v/>
      </c>
      <c r="IN28" s="327" t="e">
        <f>RANK(IM28,IM27:IM30)+COUNTIF(IM27:IM28,IM28)-1</f>
        <v>#VALUE!</v>
      </c>
      <c r="IO28" s="327" t="str">
        <f>IF(IK28="",II28,II28&amp;" ("&amp;IK28&amp;")")</f>
        <v>Antonin Klatovsky</v>
      </c>
      <c r="IP28" s="344">
        <v>2</v>
      </c>
      <c r="IQ28" s="337" t="str">
        <f>IF(AR24="","",VLOOKUP(IP28,IN27:IO30,2,FALSE))</f>
        <v/>
      </c>
      <c r="IU28" s="1111">
        <v>5</v>
      </c>
      <c r="IV28" s="695"/>
      <c r="IW28" s="696" t="str">
        <f t="shared" si="68"/>
        <v/>
      </c>
      <c r="IX28" s="697"/>
      <c r="IZ28" s="1111">
        <v>13</v>
      </c>
      <c r="JA28" s="695"/>
      <c r="JB28" s="696" t="str">
        <f t="shared" si="69"/>
        <v/>
      </c>
      <c r="JC28" s="697"/>
      <c r="JE28" s="705"/>
      <c r="JF28" s="705"/>
      <c r="JG28" s="705"/>
      <c r="JH28" s="705"/>
      <c r="JI28" s="705"/>
      <c r="JJ28" s="1334">
        <v>5</v>
      </c>
      <c r="JK28" s="875">
        <v>64</v>
      </c>
      <c r="JL28" s="878" t="str">
        <f t="shared" si="108"/>
        <v/>
      </c>
      <c r="JM28" s="872" t="str">
        <f t="shared" si="71"/>
        <v/>
      </c>
      <c r="JN28" s="868" t="str">
        <f>IF($N$28="","",IF(AND($D$28=JL$11,$F$28&lt;&gt;""),$F$28,IF(AND($D$28=JL$11,$L$28&lt;&gt;""),$L$28,IF($D$28=JL$11,$M$28,""))))</f>
        <v/>
      </c>
      <c r="JO28" s="878" t="str">
        <f t="shared" si="109"/>
        <v/>
      </c>
      <c r="JP28" s="872" t="str">
        <f t="shared" si="72"/>
        <v/>
      </c>
      <c r="JQ28" s="868" t="str">
        <f>IF($N$28="","",IF(AND($D$28=JO$11,$F$28&lt;&gt;""),$F$28,IF(AND($D$28=JO$11,$L$28&lt;&gt;""),$L$28,IF($D$28=JO$11,$M$28,""))))</f>
        <v/>
      </c>
      <c r="JR28" s="878" t="str">
        <f t="shared" si="73"/>
        <v/>
      </c>
      <c r="JS28" s="872" t="str">
        <f t="shared" si="74"/>
        <v/>
      </c>
      <c r="JT28" s="868" t="str">
        <f>IF($N$28="","",IF(AND($D$28=JR$11,$F$28&lt;&gt;""),$F$28,IF(AND($D$28=JR$11,$L$28&lt;&gt;""),$L$28,IF($D$28=JR$11,$M$28,""))))</f>
        <v/>
      </c>
      <c r="JU28" s="878" t="str">
        <f t="shared" si="75"/>
        <v/>
      </c>
      <c r="JV28" s="872" t="str">
        <f t="shared" si="76"/>
        <v/>
      </c>
      <c r="JW28" s="868" t="str">
        <f>IF($N$28="","",IF(AND($D$28=JU$11,$F$28&lt;&gt;""),$F$28,IF(AND($D$28=JU$11,$L$28&lt;&gt;""),$L$28,IF($D$28=JU$11,$M$28,""))))</f>
        <v/>
      </c>
      <c r="JX28" s="878" t="str">
        <f t="shared" si="77"/>
        <v/>
      </c>
      <c r="JY28" s="872" t="str">
        <f t="shared" si="78"/>
        <v/>
      </c>
      <c r="JZ28" s="868" t="str">
        <f>IF($N$28="","",IF(AND($D$28=JX$11,$F$28&lt;&gt;""),$F$28,IF(AND($D$28=JX$11,$L$28&lt;&gt;""),$L$28,IF($D$28=JX$11,$M$28,""))))</f>
        <v/>
      </c>
      <c r="KA28" s="878" t="str">
        <f t="shared" si="79"/>
        <v/>
      </c>
      <c r="KB28" s="872" t="str">
        <f t="shared" si="80"/>
        <v/>
      </c>
      <c r="KC28" s="868" t="str">
        <f>IF($N$28="","",IF(AND($D$28=KA$11,$F$28&lt;&gt;""),$F$28,IF(AND($D$28=KA$11,$L$28&lt;&gt;""),$L$28,IF($D$28=KA$11,$M$28,""))))</f>
        <v/>
      </c>
      <c r="KD28" s="878" t="str">
        <f t="shared" si="81"/>
        <v/>
      </c>
      <c r="KE28" s="872" t="str">
        <f t="shared" si="82"/>
        <v/>
      </c>
      <c r="KF28" s="868" t="str">
        <f>IF($N$28="","",IF(AND($D$28=KD$11,$F$28&lt;&gt;""),$F$28,IF(AND($D$28=KD$11,$L$28&lt;&gt;""),$L$28,IF($D$28=KD$11,$M$28,""))))</f>
        <v/>
      </c>
      <c r="KG28" s="878" t="str">
        <f t="shared" si="83"/>
        <v/>
      </c>
      <c r="KH28" s="872" t="str">
        <f t="shared" si="84"/>
        <v/>
      </c>
      <c r="KI28" s="868" t="str">
        <f>IF($N$28="","",IF(AND($D$28=KG$11,$F$28&lt;&gt;""),$F$28,IF(AND($D$28=KG$11,$L$28&lt;&gt;""),$L$28,IF($D$28=KG$11,$M$28,""))))</f>
        <v/>
      </c>
      <c r="KJ28" s="878" t="str">
        <f t="shared" si="85"/>
        <v/>
      </c>
      <c r="KK28" s="872" t="str">
        <f t="shared" si="86"/>
        <v/>
      </c>
      <c r="KL28" s="868" t="str">
        <f>IF($N$28="","",IF(AND($D$28=KJ$11,$F$28&lt;&gt;""),$F$28,IF(AND($D$28=KJ$11,$L$28&lt;&gt;""),$L$28,IF($D$28=KJ$11,$M$28,""))))</f>
        <v/>
      </c>
      <c r="KM28" s="878" t="str">
        <f t="shared" si="87"/>
        <v/>
      </c>
      <c r="KN28" s="872" t="str">
        <f t="shared" si="88"/>
        <v/>
      </c>
      <c r="KO28" s="868" t="str">
        <f>IF($N$28="","",IF(AND($D$28=KM$11,$F$28&lt;&gt;""),$F$28,IF(AND($D$28=KM$11,$L$28&lt;&gt;""),$L$28,IF($D$28=KM$11,$M$28,""))))</f>
        <v/>
      </c>
      <c r="KP28" s="878" t="str">
        <f t="shared" si="89"/>
        <v/>
      </c>
      <c r="KQ28" s="872" t="str">
        <f t="shared" si="90"/>
        <v/>
      </c>
      <c r="KR28" s="868" t="str">
        <f>IF($N$28="","",IF(AND($D$28=KP$11,$F$28&lt;&gt;""),$F$28,IF(AND($D$28=KP$11,$L$28&lt;&gt;""),$L$28,IF($D$28=KP$11,$M$28,""))))</f>
        <v/>
      </c>
      <c r="KS28" s="878" t="str">
        <f t="shared" si="91"/>
        <v/>
      </c>
      <c r="KT28" s="872" t="str">
        <f t="shared" si="92"/>
        <v/>
      </c>
      <c r="KU28" s="868" t="str">
        <f>IF($N$28="","",IF(AND($D$28=KS$11,$F$28&lt;&gt;""),$F$28,IF(AND($D$28=KS$11,$L$28&lt;&gt;""),$L$28,IF($D$28=KS$11,$M$28,""))))</f>
        <v/>
      </c>
      <c r="KV28" s="878" t="str">
        <f t="shared" si="93"/>
        <v/>
      </c>
      <c r="KW28" s="872" t="str">
        <f t="shared" si="94"/>
        <v/>
      </c>
      <c r="KX28" s="868" t="str">
        <f>IF($N$28="","",IF(AND($D$28=KV$11,$F$28&lt;&gt;""),$F$28,IF(AND($D$28=KV$11,$L$28&lt;&gt;""),$L$28,IF($D$28=KV$11,$M$28,""))))</f>
        <v/>
      </c>
      <c r="KY28" s="878" t="str">
        <f t="shared" si="95"/>
        <v/>
      </c>
      <c r="KZ28" s="872" t="str">
        <f t="shared" si="96"/>
        <v/>
      </c>
      <c r="LA28" s="868" t="str">
        <f>IF($N$28="","",IF(AND($D$28=KY$11,$F$28&lt;&gt;""),$F$28,IF(AND($D$28=KY$11,$L$28&lt;&gt;""),$L$28,IF($D$28=KY$11,$M$28,""))))</f>
        <v/>
      </c>
      <c r="LB28" s="878" t="str">
        <f t="shared" si="97"/>
        <v/>
      </c>
      <c r="LC28" s="872" t="str">
        <f t="shared" si="98"/>
        <v/>
      </c>
      <c r="LD28" s="868" t="str">
        <f>IF($N$28="","",IF(AND($D$28=LB$11,$F$28&lt;&gt;""),$F$28,IF(AND($D$28=LB$11,$L$28&lt;&gt;""),$L$28,IF($D$28=LB$11,$M$28,""))))</f>
        <v/>
      </c>
      <c r="LE28" s="878" t="str">
        <f t="shared" si="99"/>
        <v/>
      </c>
      <c r="LF28" s="872" t="str">
        <f t="shared" si="100"/>
        <v/>
      </c>
      <c r="LG28" s="868" t="str">
        <f>IF($N$28="","",IF(AND($D$28=LE$11,$F$28&lt;&gt;""),$F$28,IF(AND($D$28=LE$11,$L$28&lt;&gt;""),$L$28,IF($D$28=LE$11,$M$28,""))))</f>
        <v/>
      </c>
      <c r="LH28"/>
      <c r="LI28"/>
      <c r="LJ28"/>
      <c r="LK28"/>
      <c r="LL28"/>
      <c r="LM28"/>
    </row>
    <row r="29" spans="1:325" ht="12.75" customHeight="1" thickBot="1">
      <c r="A29" s="1212"/>
      <c r="B29" s="39">
        <v>3</v>
      </c>
      <c r="C29" s="101">
        <f t="shared" si="101"/>
        <v>10</v>
      </c>
      <c r="D29" s="517" t="str">
        <f t="shared" si="102"/>
        <v>Franz Zorn</v>
      </c>
      <c r="E29" s="1011"/>
      <c r="F29" s="1015" t="str">
        <f t="shared" si="47"/>
        <v/>
      </c>
      <c r="G29" s="545"/>
      <c r="H29" s="1198" t="str">
        <f t="shared" si="48"/>
        <v/>
      </c>
      <c r="I29" s="1198"/>
      <c r="J29" s="1198"/>
      <c r="K29" s="1198"/>
      <c r="L29" s="508"/>
      <c r="M29" s="146" t="str">
        <f>IF(N28="","",IF(N28="B",3,IF(N29="B",2,IF(N30="B",1,IF(N31="B",0,0)))))</f>
        <v/>
      </c>
      <c r="N29" s="707"/>
      <c r="O29" s="268"/>
      <c r="P29" s="1212"/>
      <c r="Q29" s="39">
        <v>13</v>
      </c>
      <c r="R29" s="101">
        <f t="shared" si="49"/>
        <v>19</v>
      </c>
      <c r="S29" s="517" t="str">
        <f t="shared" si="50"/>
        <v>Daniel Henderson</v>
      </c>
      <c r="T29" s="1011"/>
      <c r="U29" s="1015" t="str">
        <f t="shared" si="51"/>
        <v/>
      </c>
      <c r="V29" s="545"/>
      <c r="W29" s="1198" t="str">
        <f t="shared" si="52"/>
        <v/>
      </c>
      <c r="X29" s="1198"/>
      <c r="Y29" s="1198"/>
      <c r="Z29" s="1198"/>
      <c r="AA29" s="508"/>
      <c r="AB29" s="146" t="str">
        <f>IF(AC28="","",IF(AC28="B",3,IF(AC29="B",2,IF(AC30="B",1,IF(AC31="B",0,0)))))</f>
        <v/>
      </c>
      <c r="AC29" s="724"/>
      <c r="AD29" s="269"/>
      <c r="AE29" s="1218" t="s">
        <v>26</v>
      </c>
      <c r="AF29" s="1219"/>
      <c r="AG29" s="1219"/>
      <c r="AH29" s="1219"/>
      <c r="AI29" s="1219"/>
      <c r="AJ29" s="1219"/>
      <c r="AK29" s="1219"/>
      <c r="AL29" s="1219"/>
      <c r="AM29" s="1219"/>
      <c r="AN29" s="1219"/>
      <c r="AO29" s="1219"/>
      <c r="AP29" s="1219"/>
      <c r="AQ29" s="1219"/>
      <c r="AR29" s="1220"/>
      <c r="AT29" s="690" t="str">
        <f t="shared" si="57"/>
        <v/>
      </c>
      <c r="AU29" s="66" t="str">
        <f t="shared" si="57"/>
        <v/>
      </c>
      <c r="AV29" s="96" t="str">
        <f t="shared" si="58"/>
        <v>Daniel Henderson</v>
      </c>
      <c r="AW29" s="15" t="str">
        <f t="shared" si="59"/>
        <v/>
      </c>
      <c r="AX29" s="38" t="str">
        <f t="shared" si="59"/>
        <v/>
      </c>
      <c r="AY29" s="38" t="str">
        <f t="shared" si="59"/>
        <v/>
      </c>
      <c r="AZ29" s="38" t="str">
        <f t="shared" si="59"/>
        <v/>
      </c>
      <c r="BA29" s="97" t="str">
        <f t="shared" si="59"/>
        <v/>
      </c>
      <c r="BB29" s="190">
        <f t="shared" si="59"/>
        <v>0</v>
      </c>
      <c r="BD29" s="193" t="str">
        <f t="shared" si="60"/>
        <v/>
      </c>
      <c r="BE29" s="132" t="str">
        <f t="shared" si="103"/>
        <v/>
      </c>
      <c r="BF29" s="98" t="str">
        <f t="shared" si="103"/>
        <v/>
      </c>
      <c r="BG29"/>
      <c r="BH29" s="390">
        <f t="shared" si="104"/>
        <v>4</v>
      </c>
      <c r="BI29" s="974">
        <v>1</v>
      </c>
      <c r="BM29" s="8" t="str">
        <f>$M29</f>
        <v/>
      </c>
      <c r="BR29" s="8" t="str">
        <f>$AB29</f>
        <v/>
      </c>
      <c r="BY29" s="8"/>
      <c r="BZ29" s="762">
        <v>18</v>
      </c>
      <c r="CA29" s="762" t="str">
        <f>(AQ10)</f>
        <v/>
      </c>
      <c r="CB29" s="13">
        <v>2</v>
      </c>
      <c r="CG29" s="13">
        <v>3</v>
      </c>
      <c r="CH29" s="13" t="str">
        <f t="shared" si="146"/>
        <v>Dimitry Khomitsevich</v>
      </c>
      <c r="CI29" s="770">
        <f t="shared" si="111"/>
        <v>0</v>
      </c>
      <c r="CU29" s="13">
        <f t="shared" si="147"/>
        <v>10</v>
      </c>
      <c r="CV29" s="13">
        <f t="shared" si="112"/>
        <v>10</v>
      </c>
      <c r="CW29" s="13" t="str">
        <f t="shared" si="112"/>
        <v>Franz Zorn</v>
      </c>
      <c r="CX29" s="13" t="str">
        <f t="shared" si="112"/>
        <v/>
      </c>
      <c r="CY29" s="13" t="str">
        <f t="shared" si="112"/>
        <v/>
      </c>
      <c r="CZ29" s="13" t="str">
        <f t="shared" si="112"/>
        <v/>
      </c>
      <c r="DA29" s="13" t="str">
        <f t="shared" si="112"/>
        <v/>
      </c>
      <c r="DC29" s="13">
        <f t="shared" si="148"/>
        <v>0</v>
      </c>
      <c r="DD29" s="243">
        <f t="shared" si="113"/>
        <v>0</v>
      </c>
      <c r="DE29" s="236">
        <f t="shared" si="149"/>
        <v>0</v>
      </c>
      <c r="DF29" s="232">
        <f t="shared" si="114"/>
        <v>0</v>
      </c>
      <c r="DG29" s="234">
        <f t="shared" si="150"/>
        <v>0</v>
      </c>
      <c r="DH29" s="232">
        <f t="shared" si="115"/>
        <v>0</v>
      </c>
      <c r="DI29" s="41">
        <f t="shared" si="151"/>
        <v>0</v>
      </c>
      <c r="DJ29" s="271">
        <f t="shared" si="116"/>
        <v>0</v>
      </c>
      <c r="DK29" s="273">
        <f t="shared" si="117"/>
        <v>0</v>
      </c>
      <c r="DL29" s="281">
        <f t="shared" si="118"/>
        <v>0</v>
      </c>
      <c r="DM29" s="239">
        <f t="shared" si="119"/>
        <v>4.9999999999999998E-7</v>
      </c>
      <c r="DN29" s="285">
        <f t="shared" si="120"/>
        <v>0</v>
      </c>
      <c r="DO29" s="285">
        <f t="shared" si="121"/>
        <v>0</v>
      </c>
      <c r="DP29" s="285">
        <f t="shared" si="122"/>
        <v>4.9999999999999998E-7</v>
      </c>
      <c r="DQ29" s="597"/>
      <c r="DR29" s="205">
        <f t="shared" si="152"/>
        <v>10</v>
      </c>
      <c r="DS29" s="4">
        <f t="shared" ref="DS29:DS42" si="166">IF($FO29=$FO$28,$CV5,"")</f>
        <v>10</v>
      </c>
      <c r="DT29" s="208"/>
      <c r="DU29" s="4">
        <f>IF($FO29=$FO$30,$CV5,"")</f>
        <v>10</v>
      </c>
      <c r="DV29" s="4">
        <f>IF($FO29=$FO$31,$CV5,"")</f>
        <v>10</v>
      </c>
      <c r="DW29" s="4">
        <f>IF($FO29=$FO$32,$CV5,"")</f>
        <v>10</v>
      </c>
      <c r="DX29" s="4">
        <f t="shared" si="123"/>
        <v>10</v>
      </c>
      <c r="DY29" s="4">
        <f t="shared" si="124"/>
        <v>10</v>
      </c>
      <c r="DZ29" s="4">
        <f t="shared" si="125"/>
        <v>10</v>
      </c>
      <c r="EA29" s="4">
        <f t="shared" si="126"/>
        <v>10</v>
      </c>
      <c r="EB29" s="4">
        <f t="shared" si="127"/>
        <v>10</v>
      </c>
      <c r="EC29" s="4">
        <f t="shared" si="128"/>
        <v>10</v>
      </c>
      <c r="ED29" s="4">
        <f t="shared" si="129"/>
        <v>10</v>
      </c>
      <c r="EE29" s="4">
        <f t="shared" si="130"/>
        <v>10</v>
      </c>
      <c r="EF29" s="4">
        <f t="shared" si="131"/>
        <v>10</v>
      </c>
      <c r="EG29" s="225">
        <f t="shared" si="132"/>
        <v>10</v>
      </c>
      <c r="EH29" s="215">
        <f>$R$4</f>
        <v>10</v>
      </c>
      <c r="EI29" s="205" t="b">
        <f>IF(DR$29="","",FT$5)</f>
        <v>0</v>
      </c>
      <c r="EJ29" s="4" t="b">
        <f t="shared" ref="EJ29:EX29" si="167">IF(DS$29="","",FU$5)</f>
        <v>0</v>
      </c>
      <c r="EK29" s="208"/>
      <c r="EL29" s="4" t="b">
        <f t="shared" si="167"/>
        <v>0</v>
      </c>
      <c r="EM29" s="4" t="b">
        <f t="shared" si="167"/>
        <v>0</v>
      </c>
      <c r="EN29" s="4" t="b">
        <f t="shared" si="167"/>
        <v>0</v>
      </c>
      <c r="EO29" s="4" t="b">
        <f t="shared" si="167"/>
        <v>0</v>
      </c>
      <c r="EP29" s="4" t="b">
        <f t="shared" si="167"/>
        <v>0</v>
      </c>
      <c r="EQ29" s="4" t="b">
        <f t="shared" si="167"/>
        <v>0</v>
      </c>
      <c r="ER29" s="4" t="b">
        <f t="shared" si="167"/>
        <v>0</v>
      </c>
      <c r="ES29" s="4" t="b">
        <f t="shared" si="167"/>
        <v>0</v>
      </c>
      <c r="ET29" s="4" t="b">
        <f t="shared" si="167"/>
        <v>0</v>
      </c>
      <c r="EU29" s="4" t="b">
        <f t="shared" si="167"/>
        <v>0</v>
      </c>
      <c r="EV29" s="4" t="b">
        <f t="shared" si="167"/>
        <v>0</v>
      </c>
      <c r="EW29" s="4" t="b">
        <f t="shared" si="167"/>
        <v>0</v>
      </c>
      <c r="EX29" s="225" t="b">
        <f t="shared" si="167"/>
        <v>0</v>
      </c>
      <c r="EY29" s="230">
        <f t="shared" si="154"/>
        <v>0</v>
      </c>
      <c r="EZ29" s="13">
        <f t="shared" si="134"/>
        <v>10</v>
      </c>
      <c r="FA29" s="657">
        <f t="shared" si="135"/>
        <v>10</v>
      </c>
      <c r="FB29" s="654" t="str">
        <f t="shared" si="135"/>
        <v>Franz Zorn</v>
      </c>
      <c r="FC29" s="655">
        <f t="shared" si="155"/>
        <v>0</v>
      </c>
      <c r="FD29" s="655">
        <f t="shared" si="156"/>
        <v>0</v>
      </c>
      <c r="FE29" s="655">
        <f t="shared" si="157"/>
        <v>0</v>
      </c>
      <c r="FF29" s="655">
        <f t="shared" si="158"/>
        <v>0</v>
      </c>
      <c r="FG29" s="658">
        <f t="shared" si="136"/>
        <v>0</v>
      </c>
      <c r="FH29" s="656">
        <f t="shared" si="159"/>
        <v>0</v>
      </c>
      <c r="FI29" s="660">
        <f t="shared" si="160"/>
        <v>0</v>
      </c>
      <c r="FJ29" s="663">
        <f t="shared" si="161"/>
        <v>0</v>
      </c>
      <c r="FK29" s="762">
        <f t="shared" si="162"/>
        <v>0</v>
      </c>
      <c r="FL29" s="762">
        <f t="shared" si="163"/>
        <v>0</v>
      </c>
      <c r="FM29" s="762">
        <f t="shared" si="137"/>
        <v>0</v>
      </c>
      <c r="FN29" s="665">
        <f t="shared" si="164"/>
        <v>0</v>
      </c>
      <c r="FO29" s="665">
        <f t="shared" si="138"/>
        <v>0</v>
      </c>
      <c r="FP29" s="762">
        <f t="shared" si="139"/>
        <v>0</v>
      </c>
      <c r="FQ29" s="316">
        <f t="shared" si="140"/>
        <v>0</v>
      </c>
      <c r="FR29" s="13">
        <f t="shared" si="141"/>
        <v>18</v>
      </c>
      <c r="FS29" s="290">
        <f t="shared" si="165"/>
        <v>0</v>
      </c>
      <c r="FT29" s="1192">
        <f t="shared" si="142"/>
        <v>0</v>
      </c>
      <c r="FU29" s="1192"/>
      <c r="FV29" s="1192"/>
      <c r="FW29" s="1192"/>
      <c r="FX29" s="762">
        <f t="shared" si="143"/>
        <v>4.9999999999999998E-7</v>
      </c>
      <c r="FY29" s="1114">
        <f>IF(FG29=0.000000001,SUM(20+FH29),SUM(FT29:FX29))</f>
        <v>4.9999999999999998E-7</v>
      </c>
      <c r="FZ29" s="1114"/>
      <c r="GA29" s="1114"/>
      <c r="GB29" s="1114"/>
      <c r="GC29" s="1114"/>
      <c r="GK29" s="626" t="str">
        <f>AG34</f>
        <v/>
      </c>
      <c r="GL29" s="634" t="str">
        <f>IF(AQ34&gt;AQ32,GK29,IF(AQ34&lt;AQ32,GL26,""))</f>
        <v/>
      </c>
      <c r="GM29" s="635" t="str">
        <f>IF(AQ34&gt;AQ33,GK29,IF(AQ34&lt;AQ33,GM26,""))</f>
        <v/>
      </c>
      <c r="GN29" s="628" t="s">
        <v>197</v>
      </c>
      <c r="GO29" s="636" t="str">
        <f>IF(AQ34&gt;AQ35,GK29,IF(AQ34&lt;AQ35,GO26,""))</f>
        <v/>
      </c>
      <c r="GP29" s="682">
        <f>COUNTIF(GL29:GO29,GK29)</f>
        <v>3</v>
      </c>
      <c r="GW29" s="1144"/>
      <c r="GX29" s="230" t="str">
        <f>IF($N$28="","",IF($IW$29=$GX$3,$IX$29,IF(AND($H$29=$GX$3,$L$29&lt;&gt;""),$L$29,IF(AND($H$29=$GX$3,$L$29=""),$M$29,""))))</f>
        <v/>
      </c>
      <c r="GY29" s="301">
        <v>63</v>
      </c>
      <c r="GZ29" s="5" t="str">
        <f t="shared" si="105"/>
        <v/>
      </c>
      <c r="HA29" s="95" t="str">
        <f t="shared" si="62"/>
        <v/>
      </c>
      <c r="HB29" s="5"/>
      <c r="HC29" s="95" t="str">
        <f t="shared" si="106"/>
        <v/>
      </c>
      <c r="HG29" s="1144"/>
      <c r="HH29" s="230" t="str">
        <f>IF($N$28="","",IF($IW$29=$HH$3,$IX$29,IF(AND($H$29=$HH$3,$L$29&lt;&gt;""),$L$29,IF(AND($H$29=$HH$3,$L$29=""),$M$29,""))))</f>
        <v/>
      </c>
      <c r="HI29" s="301">
        <v>63</v>
      </c>
      <c r="HJ29" s="5" t="str">
        <f t="shared" si="107"/>
        <v/>
      </c>
      <c r="HK29" s="95" t="str">
        <f t="shared" si="63"/>
        <v/>
      </c>
      <c r="HL29" s="5"/>
      <c r="HM29" s="95" t="str">
        <f t="shared" si="64"/>
        <v/>
      </c>
      <c r="HN29" s="1149"/>
      <c r="HO29" s="131" t="str">
        <f>IF($H26="",$D26,$H26)</f>
        <v>Harald Simon</v>
      </c>
      <c r="HP29" s="884" t="str">
        <f>M26</f>
        <v/>
      </c>
      <c r="HQ29" s="327" t="str">
        <f>IF($L26="","",$L26)</f>
        <v/>
      </c>
      <c r="HR29" s="327">
        <v>0.02</v>
      </c>
      <c r="HS29" s="458" t="str">
        <f t="shared" si="144"/>
        <v/>
      </c>
      <c r="HT29" s="327" t="e">
        <f>RANK(HS29,HS27:HS30)+COUNTIF(HS27:HS29,HS29)-1</f>
        <v>#VALUE!</v>
      </c>
      <c r="HU29" s="327" t="str">
        <f>IF(HQ29="",HO29,HO29&amp;" ("&amp;HQ29&amp;")")</f>
        <v>Harald Simon</v>
      </c>
      <c r="HV29" s="328">
        <v>3</v>
      </c>
      <c r="HW29" s="337" t="str">
        <f>IF(N24="","",VLOOKUP(HV29,HT27:HU30,2,FALSE))</f>
        <v/>
      </c>
      <c r="HX29" s="1149"/>
      <c r="HY29" s="131" t="str">
        <f>IF($W26="",$S26,$W26)</f>
        <v>Daniil Ivanov</v>
      </c>
      <c r="HZ29" s="327" t="str">
        <f>AB26</f>
        <v/>
      </c>
      <c r="IA29" s="327" t="str">
        <f>IF($AA26="","",$AA26)</f>
        <v/>
      </c>
      <c r="IB29" s="327">
        <v>0.02</v>
      </c>
      <c r="IC29" s="458" t="str">
        <f t="shared" si="145"/>
        <v/>
      </c>
      <c r="ID29" s="327" t="e">
        <f>RANK(IC29,IC27:IC30)+COUNTIF(IC27:IC29,IC29)-1</f>
        <v>#VALUE!</v>
      </c>
      <c r="IE29" s="327" t="str">
        <f>IF(IA29="",HY29,HY29&amp;" ("&amp;IA29&amp;")")</f>
        <v>Daniil Ivanov</v>
      </c>
      <c r="IF29" s="344">
        <v>3</v>
      </c>
      <c r="IG29" s="337" t="str">
        <f>IF(AC24="","",VLOOKUP(IF29,ID27:IE30,2,FALSE))</f>
        <v/>
      </c>
      <c r="IH29" s="1149"/>
      <c r="II29" s="131" t="str">
        <f>IF($AL26="",$AH26,$AL26)</f>
        <v>Dimitry Khomitsevich</v>
      </c>
      <c r="IJ29" s="327" t="str">
        <f>AQ26</f>
        <v/>
      </c>
      <c r="IK29" s="327" t="str">
        <f>IF($AP26="","",$AP26)</f>
        <v/>
      </c>
      <c r="IL29" s="327">
        <v>0.02</v>
      </c>
      <c r="IM29" s="327" t="str">
        <f t="shared" si="67"/>
        <v/>
      </c>
      <c r="IN29" s="327" t="e">
        <f>RANK(IM29,IM27:IM30)+COUNTIF(IM27:IM29,IM29)-1</f>
        <v>#VALUE!</v>
      </c>
      <c r="IO29" s="327" t="str">
        <f>IF(IK29="",II29,II29&amp;" ("&amp;IK29&amp;")")</f>
        <v>Dimitry Khomitsevich</v>
      </c>
      <c r="IP29" s="344">
        <v>3</v>
      </c>
      <c r="IQ29" s="337" t="str">
        <f>IF(AR24="","",VLOOKUP(IP29,IN27:IO30,2,FALSE))</f>
        <v/>
      </c>
      <c r="IU29" s="1112"/>
      <c r="IV29" s="698"/>
      <c r="IW29" s="699" t="str">
        <f t="shared" si="68"/>
        <v/>
      </c>
      <c r="IX29" s="700"/>
      <c r="IZ29" s="1112"/>
      <c r="JA29" s="698"/>
      <c r="JB29" s="699" t="str">
        <f t="shared" si="69"/>
        <v/>
      </c>
      <c r="JC29" s="700"/>
      <c r="JE29" s="705"/>
      <c r="JF29" s="705"/>
      <c r="JG29" s="705"/>
      <c r="JH29" s="705"/>
      <c r="JI29" s="705"/>
      <c r="JJ29" s="1335"/>
      <c r="JK29" s="876">
        <v>63</v>
      </c>
      <c r="JL29" s="879" t="str">
        <f t="shared" si="108"/>
        <v/>
      </c>
      <c r="JM29" s="655" t="str">
        <f t="shared" si="71"/>
        <v/>
      </c>
      <c r="JN29" s="869" t="str">
        <f>IF($N$28="","",IF(AND($D$29=JL$11,$F$29&lt;&gt;""),$F$29,IF(AND($D$29=JL$11,$L$29&lt;&gt;""),$L$29,IF($D$29=JL$11,$M$29,""))))</f>
        <v/>
      </c>
      <c r="JO29" s="879" t="str">
        <f t="shared" si="109"/>
        <v/>
      </c>
      <c r="JP29" s="655" t="str">
        <f t="shared" si="72"/>
        <v/>
      </c>
      <c r="JQ29" s="869" t="str">
        <f>IF($N$28="","",IF(AND($D$29=JO$11,$F$29&lt;&gt;""),$F$29,IF(AND($D$29=JO$11,$L$29&lt;&gt;""),$L$29,IF($D$29=JO$11,$M$29,""))))</f>
        <v/>
      </c>
      <c r="JR29" s="879" t="str">
        <f t="shared" si="73"/>
        <v/>
      </c>
      <c r="JS29" s="655" t="str">
        <f t="shared" si="74"/>
        <v/>
      </c>
      <c r="JT29" s="869" t="str">
        <f>IF($N$28="","",IF(AND($D$29=JR$11,$F$29&lt;&gt;""),$F$29,IF(AND($D$29=JR$11,$L$29&lt;&gt;""),$L$29,IF($D$29=JR$11,$M$29,""))))</f>
        <v/>
      </c>
      <c r="JU29" s="879" t="str">
        <f t="shared" si="75"/>
        <v/>
      </c>
      <c r="JV29" s="655" t="str">
        <f t="shared" si="76"/>
        <v/>
      </c>
      <c r="JW29" s="869" t="str">
        <f>IF($N$28="","",IF(AND($D$29=JU$11,$F$29&lt;&gt;""),$F$29,IF(AND($D$29=JU$11,$L$29&lt;&gt;""),$L$29,IF($D$29=JU$11,$M$29,""))))</f>
        <v/>
      </c>
      <c r="JX29" s="879" t="str">
        <f t="shared" si="77"/>
        <v/>
      </c>
      <c r="JY29" s="655" t="str">
        <f t="shared" si="78"/>
        <v/>
      </c>
      <c r="JZ29" s="869" t="str">
        <f>IF($N$28="","",IF(AND($D$29=JX$11,$F$29&lt;&gt;""),$F$29,IF(AND($D$29=JX$11,$L$29&lt;&gt;""),$L$29,IF($D$29=JX$11,$M$29,""))))</f>
        <v/>
      </c>
      <c r="KA29" s="879" t="str">
        <f t="shared" si="79"/>
        <v/>
      </c>
      <c r="KB29" s="655" t="str">
        <f t="shared" si="80"/>
        <v/>
      </c>
      <c r="KC29" s="869" t="str">
        <f>IF($N$28="","",IF(AND($D$29=KA$11,$F$29&lt;&gt;""),$F$29,IF(AND($D$29=KA$11,$L$29&lt;&gt;""),$L$29,IF($D$29=KA$11,$M$29,""))))</f>
        <v/>
      </c>
      <c r="KD29" s="879" t="str">
        <f t="shared" si="81"/>
        <v/>
      </c>
      <c r="KE29" s="655" t="str">
        <f t="shared" si="82"/>
        <v/>
      </c>
      <c r="KF29" s="869" t="str">
        <f>IF($N$28="","",IF(AND($D$29=KD$11,$F$29&lt;&gt;""),$F$29,IF(AND($D$29=KD$11,$L$29&lt;&gt;""),$L$29,IF($D$29=KD$11,$M$29,""))))</f>
        <v/>
      </c>
      <c r="KG29" s="879" t="str">
        <f t="shared" si="83"/>
        <v/>
      </c>
      <c r="KH29" s="655" t="str">
        <f t="shared" si="84"/>
        <v/>
      </c>
      <c r="KI29" s="869" t="str">
        <f>IF($N$28="","",IF(AND($D$29=KG$11,$F$29&lt;&gt;""),$F$29,IF(AND($D$29=KG$11,$L$29&lt;&gt;""),$L$29,IF($D$29=KG$11,$M$29,""))))</f>
        <v/>
      </c>
      <c r="KJ29" s="879" t="str">
        <f t="shared" si="85"/>
        <v/>
      </c>
      <c r="KK29" s="655" t="str">
        <f t="shared" si="86"/>
        <v/>
      </c>
      <c r="KL29" s="869" t="str">
        <f>IF($N$28="","",IF(AND($D$29=KJ$11,$F$29&lt;&gt;""),$F$29,IF(AND($D$29=KJ$11,$L$29&lt;&gt;""),$L$29,IF($D$29=KJ$11,$M$29,""))))</f>
        <v/>
      </c>
      <c r="KM29" s="879" t="str">
        <f t="shared" si="87"/>
        <v/>
      </c>
      <c r="KN29" s="655" t="str">
        <f t="shared" si="88"/>
        <v/>
      </c>
      <c r="KO29" s="869" t="str">
        <f>IF($N$28="","",IF(AND($D$29=KM$11,$F$29&lt;&gt;""),$F$29,IF(AND($D$29=KM$11,$L$29&lt;&gt;""),$L$29,IF($D$29=KM$11,$M$29,""))))</f>
        <v/>
      </c>
      <c r="KP29" s="879" t="str">
        <f t="shared" si="89"/>
        <v/>
      </c>
      <c r="KQ29" s="655" t="str">
        <f t="shared" si="90"/>
        <v/>
      </c>
      <c r="KR29" s="869" t="str">
        <f>IF($N$28="","",IF(AND($D$29=KP$11,$F$29&lt;&gt;""),$F$29,IF(AND($D$29=KP$11,$L$29&lt;&gt;""),$L$29,IF($D$29=KP$11,$M$29,""))))</f>
        <v/>
      </c>
      <c r="KS29" s="879" t="str">
        <f t="shared" si="91"/>
        <v/>
      </c>
      <c r="KT29" s="655" t="str">
        <f t="shared" si="92"/>
        <v/>
      </c>
      <c r="KU29" s="869" t="str">
        <f>IF($N$28="","",IF(AND($D$29=KS$11,$F$29&lt;&gt;""),$F$29,IF(AND($D$29=KS$11,$L$29&lt;&gt;""),$L$29,IF($D$29=KS$11,$M$29,""))))</f>
        <v/>
      </c>
      <c r="KV29" s="879" t="str">
        <f t="shared" si="93"/>
        <v/>
      </c>
      <c r="KW29" s="655" t="str">
        <f t="shared" si="94"/>
        <v/>
      </c>
      <c r="KX29" s="869" t="str">
        <f>IF($N$28="","",IF(AND($D$29=KV$11,$F$29&lt;&gt;""),$F$29,IF(AND($D$29=KV$11,$L$29&lt;&gt;""),$L$29,IF($D$29=KV$11,$M$29,""))))</f>
        <v/>
      </c>
      <c r="KY29" s="879" t="str">
        <f t="shared" si="95"/>
        <v/>
      </c>
      <c r="KZ29" s="655" t="str">
        <f t="shared" si="96"/>
        <v/>
      </c>
      <c r="LA29" s="869" t="str">
        <f>IF($N$28="","",IF(AND($D$29=KY$11,$F$29&lt;&gt;""),$F$29,IF(AND($D$29=KY$11,$L$29&lt;&gt;""),$L$29,IF($D$29=KY$11,$M$29,""))))</f>
        <v/>
      </c>
      <c r="LB29" s="879" t="str">
        <f t="shared" si="97"/>
        <v/>
      </c>
      <c r="LC29" s="655" t="str">
        <f t="shared" si="98"/>
        <v/>
      </c>
      <c r="LD29" s="869" t="str">
        <f>IF($N$28="","",IF(AND($D$29=LB$11,$F$29&lt;&gt;""),$F$29,IF(AND($D$29=LB$11,$L$29&lt;&gt;""),$L$29,IF($D$29=LB$11,$M$29,""))))</f>
        <v/>
      </c>
      <c r="LE29" s="879" t="str">
        <f t="shared" si="99"/>
        <v/>
      </c>
      <c r="LF29" s="655" t="str">
        <f t="shared" si="100"/>
        <v/>
      </c>
      <c r="LG29" s="869" t="str">
        <f>IF($N$28="","",IF(AND($D$29=LE$11,$F$29&lt;&gt;""),$F$29,IF(AND($D$29=LE$11,$L$29&lt;&gt;""),$L$29,IF($D$29=LE$11,$M$29,""))))</f>
        <v/>
      </c>
      <c r="LH29"/>
      <c r="LI29"/>
      <c r="LJ29"/>
      <c r="LK29"/>
      <c r="LL29"/>
      <c r="LM29"/>
    </row>
    <row r="30" spans="1:325" ht="12.75" customHeight="1" thickBot="1">
      <c r="A30" s="1212"/>
      <c r="B30" s="39">
        <v>4</v>
      </c>
      <c r="C30" s="102">
        <f t="shared" si="101"/>
        <v>6</v>
      </c>
      <c r="D30" s="517" t="str">
        <f t="shared" si="102"/>
        <v>Jan Klatovsky</v>
      </c>
      <c r="E30" s="1011"/>
      <c r="F30" s="1015" t="str">
        <f t="shared" si="47"/>
        <v/>
      </c>
      <c r="G30" s="545"/>
      <c r="H30" s="1198" t="str">
        <f t="shared" si="48"/>
        <v/>
      </c>
      <c r="I30" s="1198"/>
      <c r="J30" s="1198"/>
      <c r="K30" s="1198"/>
      <c r="L30" s="508"/>
      <c r="M30" s="146" t="str">
        <f>IF(N28="","",IF(N28="w",3,IF(N29="w",2,IF(N30="w",1,IF(N31="w",0,0)))))</f>
        <v/>
      </c>
      <c r="N30" s="707"/>
      <c r="O30" s="268"/>
      <c r="P30" s="1212"/>
      <c r="Q30" s="39">
        <v>7</v>
      </c>
      <c r="R30" s="102">
        <f t="shared" si="49"/>
        <v>4</v>
      </c>
      <c r="S30" s="517" t="str">
        <f t="shared" si="50"/>
        <v>Igor Kononov</v>
      </c>
      <c r="T30" s="1011"/>
      <c r="U30" s="1015" t="str">
        <f t="shared" si="51"/>
        <v/>
      </c>
      <c r="V30" s="545"/>
      <c r="W30" s="1198" t="str">
        <f t="shared" si="52"/>
        <v/>
      </c>
      <c r="X30" s="1198"/>
      <c r="Y30" s="1198"/>
      <c r="Z30" s="1198"/>
      <c r="AA30" s="508"/>
      <c r="AB30" s="146" t="str">
        <f>IF(AC28="","",IF(AC28="w",3,IF(AC29="w",2,IF(AC30="w",1,IF(AC31="w",0,0)))))</f>
        <v/>
      </c>
      <c r="AC30" s="724"/>
      <c r="AD30" s="269"/>
      <c r="AE30" s="1221"/>
      <c r="AF30" s="1222"/>
      <c r="AG30" s="1222"/>
      <c r="AH30" s="1222"/>
      <c r="AI30" s="1222"/>
      <c r="AJ30" s="1222"/>
      <c r="AK30" s="1222"/>
      <c r="AL30" s="1222"/>
      <c r="AM30" s="1222"/>
      <c r="AN30" s="1222"/>
      <c r="AO30" s="1222"/>
      <c r="AP30" s="1222"/>
      <c r="AQ30" s="1222"/>
      <c r="AR30" s="1223"/>
      <c r="AV30" s="13"/>
      <c r="AW30" s="13"/>
      <c r="AX30" s="13"/>
      <c r="AY30" s="13"/>
      <c r="AZ30" s="13"/>
      <c r="BA30" s="13"/>
      <c r="BB30" s="13"/>
      <c r="BN30" s="8" t="str">
        <f>$M30</f>
        <v/>
      </c>
      <c r="BS30" s="8" t="str">
        <f>$AB30</f>
        <v/>
      </c>
      <c r="BY30" s="8"/>
      <c r="CA30" s="762"/>
      <c r="CB30" s="13">
        <v>3</v>
      </c>
      <c r="CG30" s="13">
        <v>4</v>
      </c>
      <c r="CH30" s="13" t="str">
        <f t="shared" si="146"/>
        <v>Igor Kononov</v>
      </c>
      <c r="CI30" s="770">
        <f t="shared" si="111"/>
        <v>0</v>
      </c>
      <c r="CU30" s="13">
        <f t="shared" si="147"/>
        <v>6</v>
      </c>
      <c r="CV30" s="13">
        <f t="shared" si="112"/>
        <v>6</v>
      </c>
      <c r="CW30" s="13" t="str">
        <f t="shared" si="112"/>
        <v>Jan Klatovsky</v>
      </c>
      <c r="CX30" s="13" t="str">
        <f t="shared" si="112"/>
        <v/>
      </c>
      <c r="CY30" s="13" t="str">
        <f t="shared" si="112"/>
        <v/>
      </c>
      <c r="CZ30" s="13" t="str">
        <f t="shared" si="112"/>
        <v/>
      </c>
      <c r="DA30" s="13" t="str">
        <f t="shared" si="112"/>
        <v/>
      </c>
      <c r="DC30" s="13">
        <f t="shared" si="148"/>
        <v>0</v>
      </c>
      <c r="DD30" s="243">
        <f t="shared" si="113"/>
        <v>0</v>
      </c>
      <c r="DE30" s="236">
        <f t="shared" si="149"/>
        <v>0</v>
      </c>
      <c r="DF30" s="232">
        <f t="shared" si="114"/>
        <v>0</v>
      </c>
      <c r="DG30" s="234">
        <f t="shared" si="150"/>
        <v>0</v>
      </c>
      <c r="DH30" s="232">
        <f t="shared" si="115"/>
        <v>0</v>
      </c>
      <c r="DI30" s="41">
        <f t="shared" si="151"/>
        <v>0</v>
      </c>
      <c r="DJ30" s="271">
        <f t="shared" si="116"/>
        <v>0</v>
      </c>
      <c r="DK30" s="273">
        <f t="shared" si="117"/>
        <v>0</v>
      </c>
      <c r="DL30" s="281">
        <f t="shared" si="118"/>
        <v>0</v>
      </c>
      <c r="DM30" s="238">
        <f t="shared" si="119"/>
        <v>5.4000000000000002E-7</v>
      </c>
      <c r="DN30" s="284">
        <f t="shared" si="120"/>
        <v>0</v>
      </c>
      <c r="DO30" s="284">
        <f t="shared" si="121"/>
        <v>0</v>
      </c>
      <c r="DP30" s="284">
        <f t="shared" si="122"/>
        <v>5.4000000000000002E-7</v>
      </c>
      <c r="DQ30" s="597"/>
      <c r="DR30" s="205">
        <f t="shared" si="152"/>
        <v>6</v>
      </c>
      <c r="DS30" s="4">
        <f t="shared" si="166"/>
        <v>6</v>
      </c>
      <c r="DT30" s="4">
        <f t="shared" ref="DT30:DT42" si="168">IF($FO30=$FO$29,$CV6,"")</f>
        <v>6</v>
      </c>
      <c r="DU30" s="208"/>
      <c r="DV30" s="4">
        <f>IF($FO30=$FO$31,$CV6,"")</f>
        <v>6</v>
      </c>
      <c r="DW30" s="4">
        <f>IF($FO30=$FO$32,$CV6,"")</f>
        <v>6</v>
      </c>
      <c r="DX30" s="4">
        <f t="shared" si="123"/>
        <v>6</v>
      </c>
      <c r="DY30" s="4">
        <f t="shared" si="124"/>
        <v>6</v>
      </c>
      <c r="DZ30" s="4">
        <f t="shared" si="125"/>
        <v>6</v>
      </c>
      <c r="EA30" s="4">
        <f t="shared" si="126"/>
        <v>6</v>
      </c>
      <c r="EB30" s="4">
        <f t="shared" si="127"/>
        <v>6</v>
      </c>
      <c r="EC30" s="4">
        <f t="shared" si="128"/>
        <v>6</v>
      </c>
      <c r="ED30" s="4">
        <f t="shared" si="129"/>
        <v>6</v>
      </c>
      <c r="EE30" s="4">
        <f t="shared" si="130"/>
        <v>6</v>
      </c>
      <c r="EF30" s="4">
        <f t="shared" si="131"/>
        <v>6</v>
      </c>
      <c r="EG30" s="225">
        <f t="shared" si="132"/>
        <v>6</v>
      </c>
      <c r="EH30" s="215">
        <f>$R$5</f>
        <v>6</v>
      </c>
      <c r="EI30" s="205" t="b">
        <f>IF(DR$30="","",FT$6)</f>
        <v>0</v>
      </c>
      <c r="EJ30" s="4" t="b">
        <f t="shared" ref="EJ30:EX30" si="169">IF(DS$30="","",FU$6)</f>
        <v>0</v>
      </c>
      <c r="EK30" s="4" t="b">
        <f t="shared" si="169"/>
        <v>0</v>
      </c>
      <c r="EL30" s="208"/>
      <c r="EM30" s="4" t="b">
        <f t="shared" si="169"/>
        <v>0</v>
      </c>
      <c r="EN30" s="4" t="b">
        <f t="shared" si="169"/>
        <v>0</v>
      </c>
      <c r="EO30" s="4" t="b">
        <f t="shared" si="169"/>
        <v>0</v>
      </c>
      <c r="EP30" s="4" t="b">
        <f t="shared" si="169"/>
        <v>0</v>
      </c>
      <c r="EQ30" s="4" t="b">
        <f t="shared" si="169"/>
        <v>0</v>
      </c>
      <c r="ER30" s="4" t="b">
        <f t="shared" si="169"/>
        <v>0</v>
      </c>
      <c r="ES30" s="4" t="b">
        <f t="shared" si="169"/>
        <v>0</v>
      </c>
      <c r="ET30" s="4" t="b">
        <f t="shared" si="169"/>
        <v>0</v>
      </c>
      <c r="EU30" s="4" t="b">
        <f t="shared" si="169"/>
        <v>0</v>
      </c>
      <c r="EV30" s="4" t="b">
        <f t="shared" si="169"/>
        <v>0</v>
      </c>
      <c r="EW30" s="4" t="b">
        <f t="shared" si="169"/>
        <v>0</v>
      </c>
      <c r="EX30" s="225" t="b">
        <f t="shared" si="169"/>
        <v>0</v>
      </c>
      <c r="EY30" s="230">
        <f t="shared" si="154"/>
        <v>0</v>
      </c>
      <c r="EZ30" s="13">
        <f t="shared" si="134"/>
        <v>6</v>
      </c>
      <c r="FA30" s="657">
        <f t="shared" si="135"/>
        <v>6</v>
      </c>
      <c r="FB30" s="654" t="str">
        <f t="shared" si="135"/>
        <v>Jan Klatovsky</v>
      </c>
      <c r="FC30" s="655">
        <f t="shared" si="155"/>
        <v>0</v>
      </c>
      <c r="FD30" s="655">
        <f t="shared" si="156"/>
        <v>0</v>
      </c>
      <c r="FE30" s="655">
        <f t="shared" si="157"/>
        <v>0</v>
      </c>
      <c r="FF30" s="655">
        <f t="shared" si="158"/>
        <v>0</v>
      </c>
      <c r="FG30" s="658">
        <f t="shared" si="136"/>
        <v>0</v>
      </c>
      <c r="FH30" s="656">
        <f t="shared" si="159"/>
        <v>0</v>
      </c>
      <c r="FI30" s="660">
        <f t="shared" si="160"/>
        <v>0</v>
      </c>
      <c r="FJ30" s="663">
        <f t="shared" si="161"/>
        <v>0</v>
      </c>
      <c r="FK30" s="762">
        <f t="shared" si="162"/>
        <v>0</v>
      </c>
      <c r="FL30" s="762">
        <f t="shared" si="163"/>
        <v>0</v>
      </c>
      <c r="FM30" s="762">
        <f t="shared" si="137"/>
        <v>0</v>
      </c>
      <c r="FN30" s="665">
        <f t="shared" si="164"/>
        <v>0</v>
      </c>
      <c r="FO30" s="665">
        <f t="shared" si="138"/>
        <v>0</v>
      </c>
      <c r="FP30" s="762">
        <f t="shared" si="139"/>
        <v>0</v>
      </c>
      <c r="FQ30" s="316">
        <f t="shared" si="140"/>
        <v>0</v>
      </c>
      <c r="FR30" s="13">
        <f t="shared" si="141"/>
        <v>18</v>
      </c>
      <c r="FS30" s="290">
        <f t="shared" si="165"/>
        <v>0</v>
      </c>
      <c r="FT30" s="1192">
        <f t="shared" si="142"/>
        <v>0</v>
      </c>
      <c r="FU30" s="1192"/>
      <c r="FV30" s="1192"/>
      <c r="FW30" s="1192"/>
      <c r="FX30" s="762">
        <f t="shared" si="143"/>
        <v>5.4000000000000002E-7</v>
      </c>
      <c r="FY30" s="1114">
        <f>IF(FG30=0.000000001,SUM(20+FH30),SUM(FT30:FX30))</f>
        <v>5.4000000000000002E-7</v>
      </c>
      <c r="FZ30" s="1114"/>
      <c r="GA30" s="1114"/>
      <c r="GB30" s="1114"/>
      <c r="GC30" s="1114"/>
      <c r="GK30" s="627" t="str">
        <f>AG35</f>
        <v/>
      </c>
      <c r="GL30" s="639" t="str">
        <f>IF(AQ35&gt;AQ32,GK30,IF(AQ35&lt;AQ32,GL26,""))</f>
        <v/>
      </c>
      <c r="GM30" s="640" t="str">
        <f>IF(AQ35&gt;AQ33,GK30,IF(AQ35&lt;AQ33,GM26,""))</f>
        <v/>
      </c>
      <c r="GN30" s="640" t="str">
        <f>IF(AQ35&gt;AQ34,GK30,IF(AQ35&lt;AQ34,GN26,""))</f>
        <v/>
      </c>
      <c r="GO30" s="630" t="s">
        <v>197</v>
      </c>
      <c r="GP30" s="682">
        <f>COUNTIF(GL30:GO30,GK30)</f>
        <v>3</v>
      </c>
      <c r="GW30" s="1144"/>
      <c r="GX30" s="230" t="str">
        <f>IF($N$28="","",IF($IW$30=$GX$3,$IX$30,IF(AND($H$30=$GX$3,$L$30&lt;&gt;""),$L$30,IF(AND($H$30=$GX$3,$L$30=""),$M$30,""))))</f>
        <v/>
      </c>
      <c r="GY30" s="301">
        <v>62</v>
      </c>
      <c r="GZ30" s="5" t="str">
        <f t="shared" si="105"/>
        <v/>
      </c>
      <c r="HA30" s="95" t="str">
        <f t="shared" si="62"/>
        <v/>
      </c>
      <c r="HB30" s="5"/>
      <c r="HC30" s="95" t="str">
        <f t="shared" si="106"/>
        <v/>
      </c>
      <c r="HG30" s="1144"/>
      <c r="HH30" s="230" t="str">
        <f>IF($N$28="","",IF($IW$30=$HH$3,$IX$30,IF(AND($H$30=$HH$3,$L$30&lt;&gt;""),$L$30,IF(AND($H$30=$HH$3,$L$30=""),$M$30,""))))</f>
        <v/>
      </c>
      <c r="HI30" s="301">
        <v>62</v>
      </c>
      <c r="HJ30" s="5" t="str">
        <f t="shared" si="107"/>
        <v/>
      </c>
      <c r="HK30" s="95" t="str">
        <f t="shared" si="63"/>
        <v/>
      </c>
      <c r="HL30" s="5"/>
      <c r="HM30" s="95" t="str">
        <f t="shared" si="64"/>
        <v/>
      </c>
      <c r="HN30" s="1150">
        <v>4</v>
      </c>
      <c r="HO30" s="131" t="str">
        <f>IF($H27="",$D27,$H27)</f>
        <v>Daniil Ivanov</v>
      </c>
      <c r="HP30" s="884" t="str">
        <f>M27</f>
        <v/>
      </c>
      <c r="HQ30" s="327" t="str">
        <f>IF($L27="","",$L27)</f>
        <v/>
      </c>
      <c r="HR30" s="327">
        <v>0.01</v>
      </c>
      <c r="HS30" s="458" t="str">
        <f t="shared" si="144"/>
        <v/>
      </c>
      <c r="HT30" s="327" t="e">
        <f>RANK(HS30,HS27:HS30)+COUNTIF(HS27:HS30,HS30)-1</f>
        <v>#VALUE!</v>
      </c>
      <c r="HU30" s="327" t="str">
        <f>IF(HQ30="",HO30,HO30&amp;" ("&amp;HQ30&amp;")")</f>
        <v>Daniil Ivanov</v>
      </c>
      <c r="HV30" s="328">
        <v>4</v>
      </c>
      <c r="HW30" s="337" t="str">
        <f>IF(N24="","",VLOOKUP(HV30,HT27:HU30,2,FALSE))</f>
        <v/>
      </c>
      <c r="HX30" s="1150">
        <v>12</v>
      </c>
      <c r="HY30" s="131" t="str">
        <f>IF($W27="",$S27,$W27)</f>
        <v>Dimitry Khomitsevich</v>
      </c>
      <c r="HZ30" s="327" t="str">
        <f>AB27</f>
        <v/>
      </c>
      <c r="IA30" s="327" t="str">
        <f>IF($AA27="","",$AA27)</f>
        <v/>
      </c>
      <c r="IB30" s="327">
        <v>0.01</v>
      </c>
      <c r="IC30" s="458" t="str">
        <f t="shared" si="145"/>
        <v/>
      </c>
      <c r="ID30" s="327" t="e">
        <f>RANK(IC30,IC27:IC30)+COUNTIF(IC27:IC30,IC30)-1</f>
        <v>#VALUE!</v>
      </c>
      <c r="IE30" s="327" t="str">
        <f>IF(IA30="",HY30,HY30&amp;" ("&amp;IA30&amp;")")</f>
        <v>Dimitry Khomitsevich</v>
      </c>
      <c r="IF30" s="344">
        <v>4</v>
      </c>
      <c r="IG30" s="337" t="str">
        <f>IF(AC24="","",VLOOKUP(IF30,ID27:IE30,2,FALSE))</f>
        <v/>
      </c>
      <c r="IH30" s="1150">
        <v>20</v>
      </c>
      <c r="II30" s="131" t="str">
        <f>IF($AL27="",$AH27,$AL27)</f>
        <v>Franz Zorn</v>
      </c>
      <c r="IJ30" s="327" t="str">
        <f>AQ27</f>
        <v/>
      </c>
      <c r="IK30" s="327" t="str">
        <f>IF($AP27="","",$AP27)</f>
        <v/>
      </c>
      <c r="IL30" s="327">
        <v>0.01</v>
      </c>
      <c r="IM30" s="327" t="str">
        <f t="shared" si="67"/>
        <v/>
      </c>
      <c r="IN30" s="327" t="e">
        <f>RANK(IM30,IM27:IM30)+COUNTIF(IM27:IM30,IM30)-1</f>
        <v>#VALUE!</v>
      </c>
      <c r="IO30" s="327" t="str">
        <f>IF(IK30="",II30,II30&amp;" ("&amp;IK30&amp;")")</f>
        <v>Franz Zorn</v>
      </c>
      <c r="IP30" s="344">
        <v>4</v>
      </c>
      <c r="IQ30" s="337" t="str">
        <f>IF(AR24="","",VLOOKUP(IP30,IN27:IO30,2,FALSE))</f>
        <v/>
      </c>
      <c r="IU30" s="1112"/>
      <c r="IV30" s="701"/>
      <c r="IW30" s="699" t="str">
        <f t="shared" si="68"/>
        <v/>
      </c>
      <c r="IX30" s="700"/>
      <c r="IZ30" s="1112"/>
      <c r="JA30" s="701"/>
      <c r="JB30" s="699" t="str">
        <f t="shared" si="69"/>
        <v/>
      </c>
      <c r="JC30" s="700"/>
      <c r="JE30" s="705"/>
      <c r="JF30" s="705"/>
      <c r="JG30" s="705"/>
      <c r="JH30" s="705"/>
      <c r="JI30" s="705"/>
      <c r="JJ30" s="1335"/>
      <c r="JK30" s="876">
        <v>62</v>
      </c>
      <c r="JL30" s="879" t="str">
        <f t="shared" si="108"/>
        <v/>
      </c>
      <c r="JM30" s="655" t="str">
        <f t="shared" si="71"/>
        <v/>
      </c>
      <c r="JN30" s="869" t="str">
        <f>IF($N$28="","",IF(AND($D$30=JL$11,$F$30&lt;&gt;""),$F$30,IF(AND($D$30=JL$11,$L$30&lt;&gt;""),$L$30,IF($D$30=JL$11,$M$30,""))))</f>
        <v/>
      </c>
      <c r="JO30" s="879" t="str">
        <f t="shared" si="109"/>
        <v/>
      </c>
      <c r="JP30" s="655" t="str">
        <f t="shared" si="72"/>
        <v/>
      </c>
      <c r="JQ30" s="869" t="str">
        <f>IF($N$28="","",IF(AND($D$30=JO$11,$F$30&lt;&gt;""),$F$30,IF(AND($D$30=JO$11,$L$30&lt;&gt;""),$L$30,IF($D$30=JO$11,$M$30,""))))</f>
        <v/>
      </c>
      <c r="JR30" s="879" t="str">
        <f t="shared" si="73"/>
        <v/>
      </c>
      <c r="JS30" s="655" t="str">
        <f t="shared" si="74"/>
        <v/>
      </c>
      <c r="JT30" s="869" t="str">
        <f>IF($N$28="","",IF(AND($D$30=JR$11,$F$30&lt;&gt;""),$F$30,IF(AND($D$30=JR$11,$L$30&lt;&gt;""),$L$30,IF($D$30=JR$11,$M$30,""))))</f>
        <v/>
      </c>
      <c r="JU30" s="879" t="str">
        <f t="shared" si="75"/>
        <v/>
      </c>
      <c r="JV30" s="655" t="str">
        <f t="shared" si="76"/>
        <v/>
      </c>
      <c r="JW30" s="869" t="str">
        <f>IF($N$28="","",IF(AND($D$30=JU$11,$F$30&lt;&gt;""),$F$30,IF(AND($D$30=JU$11,$L$30&lt;&gt;""),$L$30,IF($D$30=JU$11,$M$30,""))))</f>
        <v/>
      </c>
      <c r="JX30" s="879" t="str">
        <f t="shared" si="77"/>
        <v/>
      </c>
      <c r="JY30" s="655" t="str">
        <f t="shared" si="78"/>
        <v/>
      </c>
      <c r="JZ30" s="869" t="str">
        <f>IF($N$28="","",IF(AND($D$30=JX$11,$F$30&lt;&gt;""),$F$30,IF(AND($D$30=JX$11,$L$30&lt;&gt;""),$L$30,IF($D$30=JX$11,$M$30,""))))</f>
        <v/>
      </c>
      <c r="KA30" s="879" t="str">
        <f t="shared" si="79"/>
        <v/>
      </c>
      <c r="KB30" s="655" t="str">
        <f t="shared" si="80"/>
        <v/>
      </c>
      <c r="KC30" s="869" t="str">
        <f>IF($N$28="","",IF(AND($D$30=KA$11,$F$30&lt;&gt;""),$F$30,IF(AND($D$30=KA$11,$L$30&lt;&gt;""),$L$30,IF($D$30=KA$11,$M$30,""))))</f>
        <v/>
      </c>
      <c r="KD30" s="879" t="str">
        <f t="shared" si="81"/>
        <v/>
      </c>
      <c r="KE30" s="655" t="str">
        <f t="shared" si="82"/>
        <v/>
      </c>
      <c r="KF30" s="869" t="str">
        <f>IF($N$28="","",IF(AND($D$30=KD$11,$F$30&lt;&gt;""),$F$30,IF(AND($D$30=KD$11,$L$30&lt;&gt;""),$L$30,IF($D$30=KD$11,$M$30,""))))</f>
        <v/>
      </c>
      <c r="KG30" s="879" t="str">
        <f t="shared" si="83"/>
        <v/>
      </c>
      <c r="KH30" s="655" t="str">
        <f t="shared" si="84"/>
        <v/>
      </c>
      <c r="KI30" s="869" t="str">
        <f>IF($N$28="","",IF(AND($D$30=KG$11,$F$30&lt;&gt;""),$F$30,IF(AND($D$30=KG$11,$L$30&lt;&gt;""),$L$30,IF($D$30=KG$11,$M$30,""))))</f>
        <v/>
      </c>
      <c r="KJ30" s="879" t="str">
        <f t="shared" si="85"/>
        <v/>
      </c>
      <c r="KK30" s="655" t="str">
        <f t="shared" si="86"/>
        <v/>
      </c>
      <c r="KL30" s="869" t="str">
        <f>IF($N$28="","",IF(AND($D$30=KJ$11,$F$30&lt;&gt;""),$F$30,IF(AND($D$30=KJ$11,$L$30&lt;&gt;""),$L$30,IF($D$30=KJ$11,$M$30,""))))</f>
        <v/>
      </c>
      <c r="KM30" s="879" t="str">
        <f t="shared" si="87"/>
        <v/>
      </c>
      <c r="KN30" s="655" t="str">
        <f t="shared" si="88"/>
        <v/>
      </c>
      <c r="KO30" s="869" t="str">
        <f>IF($N$28="","",IF(AND($D$30=KM$11,$F$30&lt;&gt;""),$F$30,IF(AND($D$30=KM$11,$L$30&lt;&gt;""),$L$30,IF($D$30=KM$11,$M$30,""))))</f>
        <v/>
      </c>
      <c r="KP30" s="879" t="str">
        <f t="shared" si="89"/>
        <v/>
      </c>
      <c r="KQ30" s="655" t="str">
        <f t="shared" si="90"/>
        <v/>
      </c>
      <c r="KR30" s="869" t="str">
        <f>IF($N$28="","",IF(AND($D$30=KP$11,$F$30&lt;&gt;""),$F$30,IF(AND($D$30=KP$11,$L$30&lt;&gt;""),$L$30,IF($D$30=KP$11,$M$30,""))))</f>
        <v/>
      </c>
      <c r="KS30" s="879" t="str">
        <f t="shared" si="91"/>
        <v/>
      </c>
      <c r="KT30" s="655" t="str">
        <f t="shared" si="92"/>
        <v/>
      </c>
      <c r="KU30" s="869" t="str">
        <f>IF($N$28="","",IF(AND($D$30=KS$11,$F$30&lt;&gt;""),$F$30,IF(AND($D$30=KS$11,$L$30&lt;&gt;""),$L$30,IF($D$30=KS$11,$M$30,""))))</f>
        <v/>
      </c>
      <c r="KV30" s="879" t="str">
        <f t="shared" si="93"/>
        <v/>
      </c>
      <c r="KW30" s="655" t="str">
        <f t="shared" si="94"/>
        <v/>
      </c>
      <c r="KX30" s="869" t="str">
        <f>IF($N$28="","",IF(AND($D$30=KV$11,$F$30&lt;&gt;""),$F$30,IF(AND($D$30=KV$11,$L$30&lt;&gt;""),$L$30,IF($D$30=KV$11,$M$30,""))))</f>
        <v/>
      </c>
      <c r="KY30" s="879" t="str">
        <f t="shared" si="95"/>
        <v/>
      </c>
      <c r="KZ30" s="655" t="str">
        <f t="shared" si="96"/>
        <v/>
      </c>
      <c r="LA30" s="869" t="str">
        <f>IF($N$28="","",IF(AND($D$30=KY$11,$F$30&lt;&gt;""),$F$30,IF(AND($D$30=KY$11,$L$30&lt;&gt;""),$L$30,IF($D$30=KY$11,$M$30,""))))</f>
        <v/>
      </c>
      <c r="LB30" s="879" t="str">
        <f t="shared" si="97"/>
        <v/>
      </c>
      <c r="LC30" s="655" t="str">
        <f t="shared" si="98"/>
        <v/>
      </c>
      <c r="LD30" s="869" t="str">
        <f>IF($N$28="","",IF(AND($D$30=LB$11,$F$30&lt;&gt;""),$F$30,IF(AND($D$30=LB$11,$L$30&lt;&gt;""),$L$30,IF($D$30=LB$11,$M$30,""))))</f>
        <v/>
      </c>
      <c r="LE30" s="879" t="str">
        <f t="shared" si="99"/>
        <v/>
      </c>
      <c r="LF30" s="655" t="str">
        <f t="shared" si="100"/>
        <v/>
      </c>
      <c r="LG30" s="869" t="str">
        <f>IF($N$28="","",IF(AND($D$30=LE$11,$F$30&lt;&gt;""),$F$30,IF(AND($D$30=LE$11,$L$30&lt;&gt;""),$L$30,IF($D$30=LE$11,$M$30,""))))</f>
        <v/>
      </c>
      <c r="LH30"/>
      <c r="LI30"/>
      <c r="LJ30"/>
      <c r="LK30"/>
      <c r="LL30"/>
      <c r="LM30"/>
    </row>
    <row r="31" spans="1:325" ht="12.75" customHeight="1" thickBot="1">
      <c r="A31" s="918"/>
      <c r="B31" s="330">
        <v>14</v>
      </c>
      <c r="C31" s="107">
        <f t="shared" si="101"/>
        <v>8</v>
      </c>
      <c r="D31" s="518" t="str">
        <f t="shared" si="102"/>
        <v>Stefan Pletschacher</v>
      </c>
      <c r="E31" s="1012"/>
      <c r="F31" s="1016" t="str">
        <f t="shared" si="47"/>
        <v/>
      </c>
      <c r="G31" s="546"/>
      <c r="H31" s="1197" t="str">
        <f t="shared" si="48"/>
        <v/>
      </c>
      <c r="I31" s="1197"/>
      <c r="J31" s="1197"/>
      <c r="K31" s="1197"/>
      <c r="L31" s="509"/>
      <c r="M31" s="149" t="str">
        <f>IF(N28="","",IF(N28="y",3,IF(N29="y",2,IF(N30="y",1,IF(N31="y",0,0)))))</f>
        <v/>
      </c>
      <c r="N31" s="708"/>
      <c r="O31" s="268"/>
      <c r="P31" s="918"/>
      <c r="Q31" s="330">
        <v>12</v>
      </c>
      <c r="R31" s="107">
        <f t="shared" si="49"/>
        <v>11</v>
      </c>
      <c r="S31" s="518" t="str">
        <f t="shared" si="50"/>
        <v>Vitaly Khomitsevich</v>
      </c>
      <c r="T31" s="1012"/>
      <c r="U31" s="1016" t="str">
        <f>IF(T31&lt;&gt;"",T31,IF(V31&lt;&gt;"","N",""))</f>
        <v/>
      </c>
      <c r="V31" s="546"/>
      <c r="W31" s="1197" t="str">
        <f t="shared" si="52"/>
        <v/>
      </c>
      <c r="X31" s="1197"/>
      <c r="Y31" s="1197"/>
      <c r="Z31" s="1197"/>
      <c r="AA31" s="509"/>
      <c r="AB31" s="149" t="str">
        <f>IF(AC28="","",IF(AC28="y",3,IF(AC29="y",2,IF(AC30="y",1,IF(AC31="y",0,0)))))</f>
        <v/>
      </c>
      <c r="AC31" s="725"/>
      <c r="AD31" s="269"/>
      <c r="AE31" s="17" t="s">
        <v>1</v>
      </c>
      <c r="AF31" s="18"/>
      <c r="AG31" s="105"/>
      <c r="AH31" s="9" t="s">
        <v>2</v>
      </c>
      <c r="AI31" s="9"/>
      <c r="AJ31" s="9"/>
      <c r="AK31" s="768"/>
      <c r="AL31" s="1224"/>
      <c r="AM31" s="1225"/>
      <c r="AN31" s="1225"/>
      <c r="AO31" s="1226"/>
      <c r="AP31" s="506" t="s">
        <v>50</v>
      </c>
      <c r="AQ31" s="19" t="s">
        <v>0</v>
      </c>
      <c r="AR31" s="267" t="s">
        <v>12</v>
      </c>
      <c r="AV31" s="1068" t="s">
        <v>33</v>
      </c>
      <c r="AW31" s="1069"/>
      <c r="AY31" s="1065" t="s">
        <v>129</v>
      </c>
      <c r="AZ31" s="1066"/>
      <c r="BA31" s="1066"/>
      <c r="BB31" s="1066"/>
      <c r="BC31" s="1066"/>
      <c r="BD31" s="1067"/>
      <c r="BO31" s="8" t="str">
        <f>$M31</f>
        <v/>
      </c>
      <c r="BT31" s="8" t="str">
        <f>$AB31</f>
        <v/>
      </c>
      <c r="BY31" s="8"/>
      <c r="CA31" s="762"/>
      <c r="CB31" s="13">
        <v>4</v>
      </c>
      <c r="CG31" s="13">
        <v>5</v>
      </c>
      <c r="CH31" s="13" t="str">
        <f t="shared" si="146"/>
        <v>Stefan Svensson</v>
      </c>
      <c r="CI31" s="770">
        <f t="shared" si="111"/>
        <v>0</v>
      </c>
      <c r="CU31" s="13">
        <f t="shared" si="147"/>
        <v>13</v>
      </c>
      <c r="CV31" s="13">
        <f t="shared" si="112"/>
        <v>14</v>
      </c>
      <c r="CW31" s="13" t="str">
        <f t="shared" si="112"/>
        <v>Antonin Klatovsky</v>
      </c>
      <c r="CX31" s="13" t="str">
        <f t="shared" si="112"/>
        <v/>
      </c>
      <c r="CY31" s="13" t="str">
        <f t="shared" si="112"/>
        <v/>
      </c>
      <c r="CZ31" s="13" t="str">
        <f t="shared" si="112"/>
        <v/>
      </c>
      <c r="DA31" s="13" t="str">
        <f t="shared" si="112"/>
        <v/>
      </c>
      <c r="DC31" s="13">
        <f t="shared" si="148"/>
        <v>0</v>
      </c>
      <c r="DD31" s="243">
        <f t="shared" si="113"/>
        <v>0</v>
      </c>
      <c r="DE31" s="236">
        <f t="shared" si="149"/>
        <v>0</v>
      </c>
      <c r="DF31" s="232">
        <f t="shared" si="114"/>
        <v>0</v>
      </c>
      <c r="DG31" s="234">
        <f t="shared" si="150"/>
        <v>0</v>
      </c>
      <c r="DH31" s="232">
        <f t="shared" si="115"/>
        <v>0</v>
      </c>
      <c r="DI31" s="41">
        <f t="shared" si="151"/>
        <v>0</v>
      </c>
      <c r="DJ31" s="271">
        <f t="shared" si="116"/>
        <v>0</v>
      </c>
      <c r="DK31" s="273">
        <f t="shared" si="117"/>
        <v>0</v>
      </c>
      <c r="DL31" s="281">
        <f t="shared" si="118"/>
        <v>0</v>
      </c>
      <c r="DM31" s="239">
        <f t="shared" si="119"/>
        <v>4.5999999999999999E-7</v>
      </c>
      <c r="DN31" s="285">
        <f t="shared" si="120"/>
        <v>0</v>
      </c>
      <c r="DO31" s="285">
        <f t="shared" si="121"/>
        <v>0</v>
      </c>
      <c r="DP31" s="285">
        <f t="shared" si="122"/>
        <v>4.5999999999999999E-7</v>
      </c>
      <c r="DQ31" s="597"/>
      <c r="DR31" s="205">
        <f t="shared" si="152"/>
        <v>14</v>
      </c>
      <c r="DS31" s="4">
        <f t="shared" si="166"/>
        <v>14</v>
      </c>
      <c r="DT31" s="4">
        <f t="shared" si="168"/>
        <v>14</v>
      </c>
      <c r="DU31" s="4">
        <f t="shared" ref="DU31:DU42" si="170">IF($FO31=$FO$30,$CV7,"")</f>
        <v>14</v>
      </c>
      <c r="DV31" s="208"/>
      <c r="DW31" s="4">
        <f>IF($FO31=$FO$32,$CV7,"")</f>
        <v>14</v>
      </c>
      <c r="DX31" s="4">
        <f t="shared" si="123"/>
        <v>14</v>
      </c>
      <c r="DY31" s="4">
        <f t="shared" si="124"/>
        <v>14</v>
      </c>
      <c r="DZ31" s="4">
        <f t="shared" si="125"/>
        <v>14</v>
      </c>
      <c r="EA31" s="4">
        <f t="shared" si="126"/>
        <v>14</v>
      </c>
      <c r="EB31" s="4">
        <f t="shared" si="127"/>
        <v>14</v>
      </c>
      <c r="EC31" s="4">
        <f t="shared" si="128"/>
        <v>14</v>
      </c>
      <c r="ED31" s="4">
        <f t="shared" si="129"/>
        <v>14</v>
      </c>
      <c r="EE31" s="4">
        <f t="shared" si="130"/>
        <v>14</v>
      </c>
      <c r="EF31" s="4">
        <f t="shared" si="131"/>
        <v>14</v>
      </c>
      <c r="EG31" s="225">
        <f t="shared" si="132"/>
        <v>14</v>
      </c>
      <c r="EH31" s="215">
        <f>$R$6</f>
        <v>14</v>
      </c>
      <c r="EI31" s="205" t="b">
        <f>IF(DR$31="","",FT$7)</f>
        <v>0</v>
      </c>
      <c r="EJ31" s="4" t="b">
        <f t="shared" ref="EJ31:EX31" si="171">IF(DS$31="","",FU$7)</f>
        <v>0</v>
      </c>
      <c r="EK31" s="4" t="b">
        <f t="shared" si="171"/>
        <v>0</v>
      </c>
      <c r="EL31" s="4" t="b">
        <f t="shared" si="171"/>
        <v>0</v>
      </c>
      <c r="EM31" s="208"/>
      <c r="EN31" s="4" t="b">
        <f t="shared" si="171"/>
        <v>0</v>
      </c>
      <c r="EO31" s="4" t="b">
        <f t="shared" si="171"/>
        <v>0</v>
      </c>
      <c r="EP31" s="4" t="b">
        <f t="shared" si="171"/>
        <v>0</v>
      </c>
      <c r="EQ31" s="4" t="b">
        <f t="shared" si="171"/>
        <v>0</v>
      </c>
      <c r="ER31" s="4" t="b">
        <f t="shared" si="171"/>
        <v>0</v>
      </c>
      <c r="ES31" s="4" t="b">
        <f t="shared" si="171"/>
        <v>0</v>
      </c>
      <c r="ET31" s="4" t="b">
        <f t="shared" si="171"/>
        <v>0</v>
      </c>
      <c r="EU31" s="4" t="b">
        <f t="shared" si="171"/>
        <v>0</v>
      </c>
      <c r="EV31" s="4" t="b">
        <f t="shared" si="171"/>
        <v>0</v>
      </c>
      <c r="EW31" s="4" t="b">
        <f t="shared" si="171"/>
        <v>0</v>
      </c>
      <c r="EX31" s="225" t="b">
        <f t="shared" si="171"/>
        <v>0</v>
      </c>
      <c r="EY31" s="230">
        <f t="shared" si="154"/>
        <v>0</v>
      </c>
      <c r="EZ31" s="13">
        <f t="shared" si="134"/>
        <v>13</v>
      </c>
      <c r="FA31" s="673">
        <f t="shared" si="135"/>
        <v>14</v>
      </c>
      <c r="FB31" s="666" t="str">
        <f t="shared" si="135"/>
        <v>Antonin Klatovsky</v>
      </c>
      <c r="FC31" s="667">
        <f t="shared" si="155"/>
        <v>0</v>
      </c>
      <c r="FD31" s="667">
        <f t="shared" si="156"/>
        <v>0</v>
      </c>
      <c r="FE31" s="667">
        <f t="shared" si="157"/>
        <v>0</v>
      </c>
      <c r="FF31" s="667">
        <f t="shared" si="158"/>
        <v>0</v>
      </c>
      <c r="FG31" s="668">
        <f t="shared" si="136"/>
        <v>0</v>
      </c>
      <c r="FH31" s="669">
        <f t="shared" si="159"/>
        <v>0</v>
      </c>
      <c r="FI31" s="670">
        <f t="shared" si="160"/>
        <v>0</v>
      </c>
      <c r="FJ31" s="671">
        <f t="shared" si="161"/>
        <v>0</v>
      </c>
      <c r="FK31" s="672">
        <f t="shared" si="162"/>
        <v>0</v>
      </c>
      <c r="FL31" s="672">
        <f t="shared" si="163"/>
        <v>0</v>
      </c>
      <c r="FM31" s="672">
        <f t="shared" si="137"/>
        <v>0</v>
      </c>
      <c r="FN31" s="674">
        <f t="shared" si="164"/>
        <v>0</v>
      </c>
      <c r="FO31" s="674">
        <f t="shared" si="138"/>
        <v>0</v>
      </c>
      <c r="FP31" s="672">
        <f t="shared" si="139"/>
        <v>0</v>
      </c>
      <c r="FQ31" s="685">
        <f t="shared" si="140"/>
        <v>0</v>
      </c>
      <c r="FR31" s="58">
        <f t="shared" si="141"/>
        <v>18</v>
      </c>
      <c r="FS31" s="289">
        <f t="shared" si="165"/>
        <v>0</v>
      </c>
      <c r="FT31" s="1196">
        <f t="shared" si="142"/>
        <v>0</v>
      </c>
      <c r="FU31" s="1196"/>
      <c r="FV31" s="1196"/>
      <c r="FW31" s="1196"/>
      <c r="FX31" s="672">
        <f t="shared" si="143"/>
        <v>4.5999999999999999E-7</v>
      </c>
      <c r="FY31" s="1193">
        <f>IF(FG31=0.000000001,SUM(20+FH31),SUM(FT31:FX31))</f>
        <v>4.5999999999999999E-7</v>
      </c>
      <c r="FZ31" s="1193"/>
      <c r="GA31" s="1193"/>
      <c r="GB31" s="1193"/>
      <c r="GC31" s="1193"/>
      <c r="GJ31" s="290"/>
      <c r="GK31" s="683"/>
      <c r="GL31" s="650" t="str">
        <f>$GK32</f>
        <v/>
      </c>
      <c r="GM31" s="651" t="str">
        <f>$GK33</f>
        <v/>
      </c>
      <c r="GN31" s="651" t="str">
        <f>$GK34</f>
        <v/>
      </c>
      <c r="GO31" s="652" t="str">
        <f>$GK35</f>
        <v/>
      </c>
      <c r="GP31" s="681"/>
      <c r="GW31" s="1145"/>
      <c r="GX31" s="231" t="str">
        <f>IF($N$28="","",IF($IW$31=$GX$3,$IX$31,IF(AND($H$31=$GX$3,$L$31&lt;&gt;""),$L$31,IF(AND($H$31=$GX$3,$L$31=""),$M$31,""))))</f>
        <v/>
      </c>
      <c r="GY31" s="302">
        <v>61</v>
      </c>
      <c r="GZ31" s="303" t="str">
        <f t="shared" si="105"/>
        <v/>
      </c>
      <c r="HA31" s="98" t="str">
        <f t="shared" si="62"/>
        <v/>
      </c>
      <c r="HB31" s="303"/>
      <c r="HC31" s="98" t="str">
        <f t="shared" si="106"/>
        <v/>
      </c>
      <c r="HG31" s="1145"/>
      <c r="HH31" s="231" t="str">
        <f>IF($N$28="","",IF($IW$31=$HH$3,$IX$31,IF(AND($H$31=$HH$3,$L$31&lt;&gt;""),$L$31,IF(AND($H$31=$HH$3,$L$31=""),$M$31,""))))</f>
        <v/>
      </c>
      <c r="HI31" s="302">
        <v>61</v>
      </c>
      <c r="HJ31" s="303" t="str">
        <f t="shared" si="107"/>
        <v/>
      </c>
      <c r="HK31" s="98" t="str">
        <f t="shared" si="63"/>
        <v/>
      </c>
      <c r="HL31" s="303"/>
      <c r="HM31" s="98" t="str">
        <f t="shared" si="64"/>
        <v/>
      </c>
      <c r="HN31" s="348" t="str">
        <f>IF($A27="","",$A27)</f>
        <v/>
      </c>
      <c r="HO31" s="132" t="str">
        <f>IF($H24&lt;&gt;"",$D24,IF($H25&lt;&gt;"",$D25,IF($H26&lt;&gt;"",$D26,IF($H27&lt;&gt;"",$D27,""))))</f>
        <v/>
      </c>
      <c r="HP31" s="885" t="str">
        <f>IF(HO31="","",VLOOKUP($HO31,$CW$3:$DB$18,2,FALSE))</f>
        <v/>
      </c>
      <c r="HQ31" s="338"/>
      <c r="HR31" s="338"/>
      <c r="HS31" s="338">
        <v>5</v>
      </c>
      <c r="HT31" s="338"/>
      <c r="HU31" s="132" t="str">
        <f>IF(HO31="","",HO31&amp;" ("&amp;HP31&amp;")")</f>
        <v/>
      </c>
      <c r="HV31" s="349">
        <v>5</v>
      </c>
      <c r="HW31" s="339" t="str">
        <f>IF(HU31="","",HU31)</f>
        <v/>
      </c>
      <c r="HX31" s="348" t="str">
        <f>IF($P27="","",$P27)</f>
        <v/>
      </c>
      <c r="HY31" s="132" t="str">
        <f>IF($W24&lt;&gt;"",$S24,IF($W25&lt;&gt;"",$S25,IF($W26&lt;&gt;"",$S26,IF($W27&lt;&gt;"",$S27,""))))</f>
        <v/>
      </c>
      <c r="HZ31" s="338" t="str">
        <f>IF(HY31="","",VLOOKUP($HY31,$CW$3:$DB$18,4,FALSE))</f>
        <v/>
      </c>
      <c r="IA31" s="338"/>
      <c r="IB31" s="338"/>
      <c r="IC31" s="338">
        <v>5</v>
      </c>
      <c r="ID31" s="338"/>
      <c r="IE31" s="132" t="str">
        <f>IF(HY31="","",HY31&amp;" ("&amp;HZ31&amp;")")</f>
        <v/>
      </c>
      <c r="IF31" s="351">
        <v>5</v>
      </c>
      <c r="IG31" s="339" t="str">
        <f>IF(IE31="","",IE31)</f>
        <v/>
      </c>
      <c r="IH31" s="348" t="str">
        <f>IF($AE27="","",$AE27)</f>
        <v/>
      </c>
      <c r="II31" s="132" t="str">
        <f>IF($AL24&lt;&gt;"",$AH24,IF($AL25&lt;&gt;"",$AH25,IF($AL26&lt;&gt;"",$AH26,IF($AL27&lt;&gt;"",$AH27,""))))</f>
        <v/>
      </c>
      <c r="IJ31" s="338" t="str">
        <f>IF(II31="","",VLOOKUP($II31,$CW$3:$DB$18,6,FALSE))</f>
        <v/>
      </c>
      <c r="IK31" s="338"/>
      <c r="IL31" s="338"/>
      <c r="IM31" s="338">
        <v>5</v>
      </c>
      <c r="IN31" s="338"/>
      <c r="IO31" s="132" t="str">
        <f>IF(II31="","",II31&amp;" ("&amp;IJ31&amp;")")</f>
        <v/>
      </c>
      <c r="IP31" s="351">
        <v>5</v>
      </c>
      <c r="IQ31" s="339" t="str">
        <f>IF(IO31="","",IO31)</f>
        <v/>
      </c>
      <c r="IU31" s="1113"/>
      <c r="IV31" s="702"/>
      <c r="IW31" s="703" t="str">
        <f t="shared" si="68"/>
        <v/>
      </c>
      <c r="IX31" s="704"/>
      <c r="IZ31" s="1113"/>
      <c r="JA31" s="702"/>
      <c r="JB31" s="703" t="str">
        <f t="shared" si="69"/>
        <v/>
      </c>
      <c r="JC31" s="704"/>
      <c r="JE31" s="705"/>
      <c r="JF31" s="705"/>
      <c r="JG31" s="705"/>
      <c r="JH31" s="705"/>
      <c r="JI31" s="705"/>
      <c r="JJ31" s="1336"/>
      <c r="JK31" s="877">
        <v>61</v>
      </c>
      <c r="JL31" s="880" t="str">
        <f t="shared" si="108"/>
        <v/>
      </c>
      <c r="JM31" s="874" t="str">
        <f t="shared" si="71"/>
        <v/>
      </c>
      <c r="JN31" s="870" t="str">
        <f>IF($N$28="","",IF(AND($D$31=JL$11,$F$31&lt;&gt;""),$F$31,IF(AND($D$31=JL$11,$L$31&lt;&gt;""),$L$31,IF($D$31=JL$11,$M$31,""))))</f>
        <v/>
      </c>
      <c r="JO31" s="880" t="str">
        <f t="shared" si="109"/>
        <v/>
      </c>
      <c r="JP31" s="874" t="str">
        <f t="shared" si="72"/>
        <v/>
      </c>
      <c r="JQ31" s="870" t="str">
        <f>IF($N$28="","",IF(AND($D$31=JO$11,$F$31&lt;&gt;""),$F$31,IF(AND($D$31=JO$11,$L$31&lt;&gt;""),$L$31,IF($D$31=JO$11,$M$31,""))))</f>
        <v/>
      </c>
      <c r="JR31" s="880" t="str">
        <f t="shared" si="73"/>
        <v/>
      </c>
      <c r="JS31" s="874" t="str">
        <f t="shared" si="74"/>
        <v/>
      </c>
      <c r="JT31" s="870" t="str">
        <f>IF($N$28="","",IF(AND($D$31=JR$11,$F$31&lt;&gt;""),$F$31,IF(AND($D$31=JR$11,$L$31&lt;&gt;""),$L$31,IF($D$31=JR$11,$M$31,""))))</f>
        <v/>
      </c>
      <c r="JU31" s="880" t="str">
        <f t="shared" si="75"/>
        <v/>
      </c>
      <c r="JV31" s="874" t="str">
        <f t="shared" si="76"/>
        <v/>
      </c>
      <c r="JW31" s="870" t="str">
        <f>IF($N$28="","",IF(AND($D$31=JU$11,$F$31&lt;&gt;""),$F$31,IF(AND($D$31=JU$11,$L$31&lt;&gt;""),$L$31,IF($D$31=JU$11,$M$31,""))))</f>
        <v/>
      </c>
      <c r="JX31" s="880" t="str">
        <f t="shared" si="77"/>
        <v/>
      </c>
      <c r="JY31" s="874" t="str">
        <f t="shared" si="78"/>
        <v/>
      </c>
      <c r="JZ31" s="870" t="str">
        <f>IF($N$28="","",IF(AND($D$31=JX$11,$F$31&lt;&gt;""),$F$31,IF(AND($D$31=JX$11,$L$31&lt;&gt;""),$L$31,IF($D$31=JX$11,$M$31,""))))</f>
        <v/>
      </c>
      <c r="KA31" s="880" t="str">
        <f t="shared" si="79"/>
        <v/>
      </c>
      <c r="KB31" s="874" t="str">
        <f t="shared" si="80"/>
        <v/>
      </c>
      <c r="KC31" s="870" t="str">
        <f>IF($N$28="","",IF(AND($D$31=KA$11,$F$31&lt;&gt;""),$F$31,IF(AND($D$31=KA$11,$L$31&lt;&gt;""),$L$31,IF($D$31=KA$11,$M$31,""))))</f>
        <v/>
      </c>
      <c r="KD31" s="880" t="str">
        <f t="shared" si="81"/>
        <v/>
      </c>
      <c r="KE31" s="874" t="str">
        <f t="shared" si="82"/>
        <v/>
      </c>
      <c r="KF31" s="870" t="str">
        <f>IF($N$28="","",IF(AND($D$31=KD$11,$F$31&lt;&gt;""),$F$31,IF(AND($D$31=KD$11,$L$31&lt;&gt;""),$L$31,IF($D$31=KD$11,$M$31,""))))</f>
        <v/>
      </c>
      <c r="KG31" s="880" t="str">
        <f t="shared" si="83"/>
        <v/>
      </c>
      <c r="KH31" s="874" t="str">
        <f t="shared" si="84"/>
        <v/>
      </c>
      <c r="KI31" s="870" t="str">
        <f>IF($N$28="","",IF(AND($D$31=KG$11,$F$31&lt;&gt;""),$F$31,IF(AND($D$31=KG$11,$L$31&lt;&gt;""),$L$31,IF($D$31=KG$11,$M$31,""))))</f>
        <v/>
      </c>
      <c r="KJ31" s="880" t="str">
        <f t="shared" si="85"/>
        <v/>
      </c>
      <c r="KK31" s="874" t="str">
        <f t="shared" si="86"/>
        <v/>
      </c>
      <c r="KL31" s="870" t="str">
        <f>IF($N$28="","",IF(AND($D$31=KJ$11,$F$31&lt;&gt;""),$F$31,IF(AND($D$31=KJ$11,$L$31&lt;&gt;""),$L$31,IF($D$31=KJ$11,$M$31,""))))</f>
        <v/>
      </c>
      <c r="KM31" s="880" t="str">
        <f t="shared" si="87"/>
        <v/>
      </c>
      <c r="KN31" s="874" t="str">
        <f t="shared" si="88"/>
        <v/>
      </c>
      <c r="KO31" s="870" t="str">
        <f>IF($N$28="","",IF(AND($D$31=KM$11,$F$31&lt;&gt;""),$F$31,IF(AND($D$31=KM$11,$L$31&lt;&gt;""),$L$31,IF($D$31=KM$11,$M$31,""))))</f>
        <v/>
      </c>
      <c r="KP31" s="880" t="str">
        <f t="shared" si="89"/>
        <v/>
      </c>
      <c r="KQ31" s="874" t="str">
        <f t="shared" si="90"/>
        <v/>
      </c>
      <c r="KR31" s="870" t="str">
        <f>IF($N$28="","",IF(AND($D$31=KP$11,$F$31&lt;&gt;""),$F$31,IF(AND($D$31=KP$11,$L$31&lt;&gt;""),$L$31,IF($D$31=KP$11,$M$31,""))))</f>
        <v/>
      </c>
      <c r="KS31" s="880" t="str">
        <f t="shared" si="91"/>
        <v/>
      </c>
      <c r="KT31" s="874" t="str">
        <f t="shared" si="92"/>
        <v/>
      </c>
      <c r="KU31" s="870" t="str">
        <f>IF($N$28="","",IF(AND($D$31=KS$11,$F$31&lt;&gt;""),$F$31,IF(AND($D$31=KS$11,$L$31&lt;&gt;""),$L$31,IF($D$31=KS$11,$M$31,""))))</f>
        <v/>
      </c>
      <c r="KV31" s="880" t="str">
        <f t="shared" si="93"/>
        <v/>
      </c>
      <c r="KW31" s="874" t="str">
        <f t="shared" si="94"/>
        <v/>
      </c>
      <c r="KX31" s="870" t="str">
        <f>IF($N$28="","",IF(AND($D$31=KV$11,$F$31&lt;&gt;""),$F$31,IF(AND($D$31=KV$11,$L$31&lt;&gt;""),$L$31,IF($D$31=KV$11,$M$31,""))))</f>
        <v/>
      </c>
      <c r="KY31" s="880" t="str">
        <f t="shared" si="95"/>
        <v/>
      </c>
      <c r="KZ31" s="874" t="str">
        <f t="shared" si="96"/>
        <v/>
      </c>
      <c r="LA31" s="870" t="str">
        <f>IF($N$28="","",IF(AND($D$31=KY$11,$F$31&lt;&gt;""),$F$31,IF(AND($D$31=KY$11,$L$31&lt;&gt;""),$L$31,IF($D$31=KY$11,$M$31,""))))</f>
        <v/>
      </c>
      <c r="LB31" s="880" t="str">
        <f t="shared" si="97"/>
        <v/>
      </c>
      <c r="LC31" s="874" t="str">
        <f t="shared" si="98"/>
        <v/>
      </c>
      <c r="LD31" s="870" t="str">
        <f>IF($N$28="","",IF(AND($D$31=LB$11,$F$31&lt;&gt;""),$F$31,IF(AND($D$31=LB$11,$L$31&lt;&gt;""),$L$31,IF($D$31=LB$11,$M$31,""))))</f>
        <v/>
      </c>
      <c r="LE31" s="880" t="str">
        <f t="shared" si="99"/>
        <v/>
      </c>
      <c r="LF31" s="874" t="str">
        <f t="shared" si="100"/>
        <v/>
      </c>
      <c r="LG31" s="870" t="str">
        <f>IF($N$28="","",IF(AND($D$31=LE$11,$F$31&lt;&gt;""),$F$31,IF(AND($D$31=LE$11,$L$31&lt;&gt;""),$L$31,IF($D$31=LE$11,$M$31,""))))</f>
        <v/>
      </c>
      <c r="LH31"/>
      <c r="LI31"/>
      <c r="LJ31"/>
      <c r="LK31"/>
      <c r="LL31"/>
      <c r="LM31"/>
    </row>
    <row r="32" spans="1:325" ht="12.75" customHeight="1">
      <c r="A32" s="1211">
        <v>6</v>
      </c>
      <c r="B32" s="329">
        <v>7</v>
      </c>
      <c r="C32" s="106">
        <f t="shared" si="101"/>
        <v>4</v>
      </c>
      <c r="D32" s="516" t="str">
        <f t="shared" si="102"/>
        <v>Igor Kononov</v>
      </c>
      <c r="E32" s="1010"/>
      <c r="F32" s="1014" t="str">
        <f t="shared" si="47"/>
        <v/>
      </c>
      <c r="G32" s="544"/>
      <c r="H32" s="1210" t="str">
        <f t="shared" si="48"/>
        <v/>
      </c>
      <c r="I32" s="1210"/>
      <c r="J32" s="1210"/>
      <c r="K32" s="1210"/>
      <c r="L32" s="510"/>
      <c r="M32" s="93" t="str">
        <f>IF(N32="","",IF(N32="R",3,IF(N33="R",2,IF(N34="R",1,IF(N35="R",0,0)))))</f>
        <v/>
      </c>
      <c r="N32" s="706"/>
      <c r="O32" s="268"/>
      <c r="P32" s="1211">
        <v>14</v>
      </c>
      <c r="Q32" s="329">
        <v>6</v>
      </c>
      <c r="R32" s="106">
        <f t="shared" si="49"/>
        <v>16</v>
      </c>
      <c r="S32" s="516" t="str">
        <f t="shared" si="50"/>
        <v>Rene Stellingwerf</v>
      </c>
      <c r="T32" s="1010"/>
      <c r="U32" s="1014" t="str">
        <f t="shared" ref="U32:U43" si="172">IF(T32&lt;&gt;"",T32,IF(V32&lt;&gt;"","N",""))</f>
        <v/>
      </c>
      <c r="V32" s="544"/>
      <c r="W32" s="1210" t="str">
        <f t="shared" si="52"/>
        <v/>
      </c>
      <c r="X32" s="1210"/>
      <c r="Y32" s="1210"/>
      <c r="Z32" s="1210"/>
      <c r="AA32" s="510"/>
      <c r="AB32" s="93" t="str">
        <f>IF(AC32="","",IF(AC32="R",3,IF(AC33="R",2,IF(AC34="R",1,IF(AC35="R",0,0)))))</f>
        <v/>
      </c>
      <c r="AC32" s="723"/>
      <c r="AD32" s="269"/>
      <c r="AE32" s="1216" t="s">
        <v>61</v>
      </c>
      <c r="AF32" s="106"/>
      <c r="AG32" s="106" t="str">
        <f t="shared" ref="AG32:AG43" si="173">IF(AH32="","",SUMIF($CW$3:$CW$20,AH32,$CV$3:$CV$20))</f>
        <v/>
      </c>
      <c r="AH32" s="516" t="str">
        <f>IF(AW32="R",AV32,IF(AW33="R",AV33,IF(AW34="R",AV34,IF(AW35="R",AV35,""))))</f>
        <v/>
      </c>
      <c r="AI32" s="521"/>
      <c r="AJ32" s="521"/>
      <c r="AK32" s="530"/>
      <c r="AL32" s="1214"/>
      <c r="AM32" s="1214"/>
      <c r="AN32" s="1214"/>
      <c r="AO32" s="1214"/>
      <c r="AP32" s="507"/>
      <c r="AQ32" s="93" t="str">
        <f>IF(AR32="","",IF(AR32="R",3,IF(AR33="R",2,IF(AR34="R",1,IF(AR35="R",0,0)))))</f>
        <v/>
      </c>
      <c r="AR32" s="723"/>
      <c r="AS32" s="269"/>
      <c r="AT32" s="290"/>
      <c r="AU32" s="290"/>
      <c r="AV32" s="453" t="str">
        <f>IF(AQ$27="","",IF(AY32&lt;&gt;"",AZ32,AV12))</f>
        <v/>
      </c>
      <c r="AW32" s="723"/>
      <c r="AX32" s="268"/>
      <c r="AY32" s="925"/>
      <c r="AZ32" s="1087" t="str">
        <f>IF(AY32="","",VLOOKUP(AY32,$CV$3:$CW$20,2,FALSE))</f>
        <v/>
      </c>
      <c r="BA32" s="1088"/>
      <c r="BB32" s="1088"/>
      <c r="BC32" s="1088"/>
      <c r="BD32" s="1089"/>
      <c r="BL32" s="8" t="str">
        <f>$M32</f>
        <v/>
      </c>
      <c r="BQ32" s="8" t="str">
        <f>$AB32</f>
        <v/>
      </c>
      <c r="BV32" s="8" t="str">
        <f>$AQ32</f>
        <v/>
      </c>
      <c r="BY32" s="8"/>
      <c r="CA32" s="762">
        <f>MAX(CA12:CA27)</f>
        <v>0</v>
      </c>
      <c r="CB32" s="13">
        <v>1</v>
      </c>
      <c r="CG32" s="13">
        <v>6</v>
      </c>
      <c r="CH32" s="13" t="str">
        <f t="shared" si="146"/>
        <v>Jan Klatovsky</v>
      </c>
      <c r="CI32" s="770">
        <f t="shared" si="111"/>
        <v>0</v>
      </c>
      <c r="CU32" s="13">
        <f t="shared" si="147"/>
        <v>15</v>
      </c>
      <c r="CV32" s="13">
        <f t="shared" si="112"/>
        <v>16</v>
      </c>
      <c r="CW32" s="13" t="str">
        <f t="shared" si="112"/>
        <v>Rene Stellingwerf</v>
      </c>
      <c r="CX32" s="13" t="str">
        <f t="shared" si="112"/>
        <v/>
      </c>
      <c r="CY32" s="13" t="str">
        <f t="shared" si="112"/>
        <v/>
      </c>
      <c r="CZ32" s="13" t="str">
        <f t="shared" si="112"/>
        <v/>
      </c>
      <c r="DA32" s="13" t="str">
        <f t="shared" si="112"/>
        <v/>
      </c>
      <c r="DC32" s="13">
        <f t="shared" si="148"/>
        <v>0</v>
      </c>
      <c r="DD32" s="243">
        <f t="shared" si="113"/>
        <v>0</v>
      </c>
      <c r="DE32" s="236">
        <f t="shared" si="149"/>
        <v>0</v>
      </c>
      <c r="DF32" s="232">
        <f t="shared" si="114"/>
        <v>0</v>
      </c>
      <c r="DG32" s="234">
        <f t="shared" si="150"/>
        <v>0</v>
      </c>
      <c r="DH32" s="232">
        <f t="shared" si="115"/>
        <v>0</v>
      </c>
      <c r="DI32" s="41">
        <f t="shared" si="151"/>
        <v>0</v>
      </c>
      <c r="DJ32" s="271">
        <f t="shared" si="116"/>
        <v>0</v>
      </c>
      <c r="DK32" s="273">
        <f t="shared" si="117"/>
        <v>0</v>
      </c>
      <c r="DL32" s="281">
        <f t="shared" si="118"/>
        <v>0</v>
      </c>
      <c r="DM32" s="238">
        <f t="shared" si="119"/>
        <v>4.4000000000000002E-7</v>
      </c>
      <c r="DN32" s="284">
        <f t="shared" si="120"/>
        <v>0</v>
      </c>
      <c r="DO32" s="284">
        <f t="shared" si="121"/>
        <v>0</v>
      </c>
      <c r="DP32" s="284">
        <f t="shared" si="122"/>
        <v>4.4000000000000002E-7</v>
      </c>
      <c r="DQ32" s="597"/>
      <c r="DR32" s="205">
        <f t="shared" si="152"/>
        <v>16</v>
      </c>
      <c r="DS32" s="4">
        <f t="shared" si="166"/>
        <v>16</v>
      </c>
      <c r="DT32" s="4">
        <f t="shared" si="168"/>
        <v>16</v>
      </c>
      <c r="DU32" s="4">
        <f t="shared" si="170"/>
        <v>16</v>
      </c>
      <c r="DV32" s="4">
        <f t="shared" ref="DV32:DV42" si="174">IF($FO32=$FO$31,$CV8,"")</f>
        <v>16</v>
      </c>
      <c r="DW32" s="208"/>
      <c r="DX32" s="4">
        <f t="shared" si="123"/>
        <v>16</v>
      </c>
      <c r="DY32" s="4">
        <f t="shared" si="124"/>
        <v>16</v>
      </c>
      <c r="DZ32" s="4">
        <f t="shared" si="125"/>
        <v>16</v>
      </c>
      <c r="EA32" s="4">
        <f t="shared" si="126"/>
        <v>16</v>
      </c>
      <c r="EB32" s="4">
        <f t="shared" si="127"/>
        <v>16</v>
      </c>
      <c r="EC32" s="4">
        <f t="shared" si="128"/>
        <v>16</v>
      </c>
      <c r="ED32" s="4">
        <f t="shared" si="129"/>
        <v>16</v>
      </c>
      <c r="EE32" s="4">
        <f t="shared" si="130"/>
        <v>16</v>
      </c>
      <c r="EF32" s="4">
        <f t="shared" si="131"/>
        <v>16</v>
      </c>
      <c r="EG32" s="225">
        <f t="shared" si="132"/>
        <v>16</v>
      </c>
      <c r="EH32" s="215">
        <f>$R$7</f>
        <v>16</v>
      </c>
      <c r="EI32" s="205" t="b">
        <f>IF(DR$32="","",FT$8)</f>
        <v>0</v>
      </c>
      <c r="EJ32" s="4" t="b">
        <f t="shared" ref="EJ32:EX32" si="175">IF(DS$32="","",FU$8)</f>
        <v>0</v>
      </c>
      <c r="EK32" s="4" t="b">
        <f t="shared" si="175"/>
        <v>0</v>
      </c>
      <c r="EL32" s="4" t="b">
        <f t="shared" si="175"/>
        <v>0</v>
      </c>
      <c r="EM32" s="4" t="b">
        <f t="shared" si="175"/>
        <v>0</v>
      </c>
      <c r="EN32" s="208"/>
      <c r="EO32" s="4" t="b">
        <f t="shared" si="175"/>
        <v>0</v>
      </c>
      <c r="EP32" s="4" t="b">
        <f t="shared" si="175"/>
        <v>0</v>
      </c>
      <c r="EQ32" s="4" t="b">
        <f t="shared" si="175"/>
        <v>0</v>
      </c>
      <c r="ER32" s="4" t="b">
        <f t="shared" si="175"/>
        <v>0</v>
      </c>
      <c r="ES32" s="4" t="b">
        <f t="shared" si="175"/>
        <v>0</v>
      </c>
      <c r="ET32" s="4" t="b">
        <f t="shared" si="175"/>
        <v>0</v>
      </c>
      <c r="EU32" s="4" t="b">
        <f t="shared" si="175"/>
        <v>0</v>
      </c>
      <c r="EV32" s="4" t="b">
        <f t="shared" si="175"/>
        <v>0</v>
      </c>
      <c r="EW32" s="4" t="b">
        <f t="shared" si="175"/>
        <v>0</v>
      </c>
      <c r="EX32" s="225" t="b">
        <f t="shared" si="175"/>
        <v>0</v>
      </c>
      <c r="EY32" s="230">
        <f t="shared" si="154"/>
        <v>0</v>
      </c>
      <c r="EZ32" s="13">
        <f t="shared" si="134"/>
        <v>15</v>
      </c>
      <c r="FA32" s="657">
        <f t="shared" si="135"/>
        <v>16</v>
      </c>
      <c r="FB32" s="654" t="str">
        <f t="shared" si="135"/>
        <v>Rene Stellingwerf</v>
      </c>
      <c r="FC32" s="655">
        <f t="shared" si="155"/>
        <v>0</v>
      </c>
      <c r="FD32" s="655">
        <f t="shared" si="156"/>
        <v>0</v>
      </c>
      <c r="FE32" s="655">
        <f t="shared" si="157"/>
        <v>0</v>
      </c>
      <c r="FF32" s="655">
        <f t="shared" si="158"/>
        <v>0</v>
      </c>
      <c r="FG32" s="658">
        <f t="shared" si="136"/>
        <v>0</v>
      </c>
      <c r="FH32" s="656">
        <f t="shared" si="159"/>
        <v>0</v>
      </c>
      <c r="FI32" s="660">
        <f t="shared" si="160"/>
        <v>0</v>
      </c>
      <c r="FJ32" s="663">
        <f t="shared" si="161"/>
        <v>0</v>
      </c>
      <c r="FK32" s="762">
        <f t="shared" si="162"/>
        <v>0</v>
      </c>
      <c r="FL32" s="762">
        <f t="shared" si="163"/>
        <v>0</v>
      </c>
      <c r="FM32" s="762">
        <f t="shared" si="137"/>
        <v>0</v>
      </c>
      <c r="FN32" s="665">
        <f t="shared" si="164"/>
        <v>0</v>
      </c>
      <c r="FO32" s="665">
        <f t="shared" si="138"/>
        <v>0</v>
      </c>
      <c r="FP32" s="762">
        <f t="shared" si="139"/>
        <v>0</v>
      </c>
      <c r="FQ32" s="316">
        <f t="shared" si="140"/>
        <v>0</v>
      </c>
      <c r="FR32" s="13">
        <f t="shared" si="141"/>
        <v>18</v>
      </c>
      <c r="FS32" s="290">
        <f t="shared" si="165"/>
        <v>0</v>
      </c>
      <c r="FT32" s="1192">
        <f t="shared" si="142"/>
        <v>0</v>
      </c>
      <c r="FU32" s="1192"/>
      <c r="FV32" s="1192"/>
      <c r="FW32" s="1192"/>
      <c r="FX32" s="762">
        <f t="shared" si="143"/>
        <v>4.4000000000000002E-7</v>
      </c>
      <c r="FY32" s="1114">
        <f t="shared" ref="FY32:FY44" si="176">IF(FG32=0.000000001,SUM(20+FH32),SUM(FT32:FX32))</f>
        <v>4.4000000000000002E-7</v>
      </c>
      <c r="FZ32" s="1114"/>
      <c r="GA32" s="1114"/>
      <c r="GB32" s="1114"/>
      <c r="GC32" s="1114"/>
      <c r="GJ32" s="290"/>
      <c r="GK32" s="625" t="str">
        <f>AG36</f>
        <v/>
      </c>
      <c r="GL32" s="629" t="s">
        <v>197</v>
      </c>
      <c r="GM32" s="637" t="str">
        <f>IF(AQ36&gt;AQ37,GK32,IF(AQ36&lt;AQ37,GM31,""))</f>
        <v/>
      </c>
      <c r="GN32" s="637" t="str">
        <f>IF(AQ36&gt;AQ38,GK32,IF(AQ36&lt;AQ38,GN31,""))</f>
        <v/>
      </c>
      <c r="GO32" s="638" t="str">
        <f>IF(AQ36&gt;AQ39,GK32,IF(AQ36&lt;AQ39,GO31,""))</f>
        <v/>
      </c>
      <c r="GP32" s="681">
        <f>COUNTIF(GL32:GO32,GK32)</f>
        <v>3</v>
      </c>
      <c r="GW32" s="1143">
        <v>6</v>
      </c>
      <c r="GX32" s="229" t="str">
        <f>IF($N$32="","",IF($IW$32=$GX$3,$IX$32,IF(AND($H$32=$GX$3,$L$32&lt;&gt;""),$L$32,IF(AND($H$32=$GX$3,$L$32=""),$M$32,""))))</f>
        <v/>
      </c>
      <c r="GY32" s="299">
        <v>60</v>
      </c>
      <c r="GZ32" s="300" t="str">
        <f t="shared" si="105"/>
        <v/>
      </c>
      <c r="HA32" s="93" t="str">
        <f t="shared" si="62"/>
        <v/>
      </c>
      <c r="HB32" s="300"/>
      <c r="HC32" s="93" t="str">
        <f t="shared" si="106"/>
        <v/>
      </c>
      <c r="HG32" s="1143">
        <v>6</v>
      </c>
      <c r="HH32" s="229" t="str">
        <f>IF($N$32="","",IF($IW$32=$HH$3,$IX$32,IF(AND($H$32=$HH$3,$L$32&lt;&gt;""),$L$32,IF(AND($H$32=$HH$3,$L$32=""),$M$32,""))))</f>
        <v/>
      </c>
      <c r="HI32" s="299">
        <v>60</v>
      </c>
      <c r="HJ32" s="300" t="str">
        <f t="shared" si="107"/>
        <v/>
      </c>
      <c r="HK32" s="93" t="str">
        <f t="shared" si="63"/>
        <v/>
      </c>
      <c r="HL32" s="300"/>
      <c r="HM32" s="93" t="str">
        <f t="shared" si="64"/>
        <v/>
      </c>
      <c r="HN32" s="1148">
        <v>5</v>
      </c>
      <c r="HO32" s="346" t="str">
        <f>IF($H28="",$D28,$H28)</f>
        <v>Daniil Ivanov</v>
      </c>
      <c r="HP32" s="883" t="str">
        <f>M28</f>
        <v/>
      </c>
      <c r="HQ32" s="335" t="str">
        <f>IF($L28="","",$L28)</f>
        <v/>
      </c>
      <c r="HR32" s="335">
        <v>0.04</v>
      </c>
      <c r="HS32" s="456" t="str">
        <f>IF(HQ32&lt;&gt;"",-1,HP32)</f>
        <v/>
      </c>
      <c r="HT32" s="457" t="e">
        <f>RANK(HS32,HS32:HS35)+COUNTIF(HS32:HS32,HS32)-1</f>
        <v>#VALUE!</v>
      </c>
      <c r="HU32" s="335" t="str">
        <f>IF(HQ32="",HO32,HO32&amp;" ("&amp;HQ32&amp;")")</f>
        <v>Daniil Ivanov</v>
      </c>
      <c r="HV32" s="347">
        <v>1</v>
      </c>
      <c r="HW32" s="336" t="str">
        <f>IF(N28="","",VLOOKUP(HV32,HT32:HU35,2,FALSE))</f>
        <v/>
      </c>
      <c r="HX32" s="1148">
        <v>13</v>
      </c>
      <c r="HY32" s="346" t="str">
        <f>IF($W28="",$S28,$W28)</f>
        <v>Franz Zorn</v>
      </c>
      <c r="HZ32" s="335" t="str">
        <f>AB28</f>
        <v/>
      </c>
      <c r="IA32" s="335" t="str">
        <f>IF($AA28="","",$AA28)</f>
        <v/>
      </c>
      <c r="IB32" s="335">
        <v>0.04</v>
      </c>
      <c r="IC32" s="456" t="str">
        <f>IF(IA32&lt;&gt;"",-1,HZ32)</f>
        <v/>
      </c>
      <c r="ID32" s="457" t="e">
        <f>RANK(IC32,IC32:IC35)+COUNTIF(IC32:IC32,IC32)-1</f>
        <v>#VALUE!</v>
      </c>
      <c r="IE32" s="335" t="str">
        <f>IF(IA32="",HY32,HY32&amp;" ("&amp;IA32&amp;")")</f>
        <v>Franz Zorn</v>
      </c>
      <c r="IF32" s="350">
        <v>1</v>
      </c>
      <c r="IG32" s="336" t="str">
        <f>IF(AC28="","",VLOOKUP(IF32,ID32:IE35,2,FALSE))</f>
        <v/>
      </c>
      <c r="IH32"/>
      <c r="II32"/>
      <c r="IJ32"/>
      <c r="IK32"/>
      <c r="IL32"/>
      <c r="IM32"/>
      <c r="IN32"/>
      <c r="IO32"/>
      <c r="IP32"/>
      <c r="IQ32"/>
      <c r="IR32"/>
      <c r="IU32" s="1111">
        <v>6</v>
      </c>
      <c r="IV32" s="695"/>
      <c r="IW32" s="696" t="str">
        <f t="shared" si="68"/>
        <v/>
      </c>
      <c r="IX32" s="697"/>
      <c r="IZ32" s="1111">
        <v>14</v>
      </c>
      <c r="JA32" s="695"/>
      <c r="JB32" s="696" t="str">
        <f t="shared" si="69"/>
        <v/>
      </c>
      <c r="JC32" s="697"/>
      <c r="JE32" s="705"/>
      <c r="JF32" s="705"/>
      <c r="JG32" s="705"/>
      <c r="JH32" s="705"/>
      <c r="JI32" s="705"/>
      <c r="JJ32" s="1334">
        <v>6</v>
      </c>
      <c r="JK32" s="875">
        <v>60</v>
      </c>
      <c r="JL32" s="878" t="str">
        <f t="shared" si="108"/>
        <v/>
      </c>
      <c r="JM32" s="872" t="str">
        <f t="shared" si="71"/>
        <v/>
      </c>
      <c r="JN32" s="868" t="str">
        <f>IF($N$32="","",IF(AND($D$32=JL$11,$F$32&lt;&gt;""),$F$32,IF(AND($D$32=JL$11,$L$32&lt;&gt;""),$L$32,IF($D$32=JL$11,$M$32,""))))</f>
        <v/>
      </c>
      <c r="JO32" s="878" t="str">
        <f t="shared" si="109"/>
        <v/>
      </c>
      <c r="JP32" s="872" t="str">
        <f t="shared" si="72"/>
        <v/>
      </c>
      <c r="JQ32" s="868" t="str">
        <f>IF($N$32="","",IF(AND($D$32=JO$11,$F$32&lt;&gt;""),$F$32,IF(AND($D$32=JO$11,$L$32&lt;&gt;""),$L$32,IF($D$32=JO$11,$M$32,""))))</f>
        <v/>
      </c>
      <c r="JR32" s="878" t="str">
        <f t="shared" si="73"/>
        <v/>
      </c>
      <c r="JS32" s="872" t="str">
        <f t="shared" si="74"/>
        <v/>
      </c>
      <c r="JT32" s="868" t="str">
        <f>IF($N$32="","",IF(AND($D$32=JR$11,$F$32&lt;&gt;""),$F$32,IF(AND($D$32=JR$11,$L$32&lt;&gt;""),$L$32,IF($D$32=JR$11,$M$32,""))))</f>
        <v/>
      </c>
      <c r="JU32" s="878" t="str">
        <f t="shared" si="75"/>
        <v/>
      </c>
      <c r="JV32" s="872" t="str">
        <f t="shared" si="76"/>
        <v/>
      </c>
      <c r="JW32" s="868" t="str">
        <f>IF($N$32="","",IF(AND($D$32=JU$11,$F$32&lt;&gt;""),$F$32,IF(AND($D$32=JU$11,$L$32&lt;&gt;""),$L$32,IF($D$32=JU$11,$M$32,""))))</f>
        <v/>
      </c>
      <c r="JX32" s="878" t="str">
        <f t="shared" si="77"/>
        <v/>
      </c>
      <c r="JY32" s="872" t="str">
        <f t="shared" si="78"/>
        <v/>
      </c>
      <c r="JZ32" s="868" t="str">
        <f>IF($N$32="","",IF(AND($D$32=JX$11,$F$32&lt;&gt;""),$F$32,IF(AND($D$32=JX$11,$L$32&lt;&gt;""),$L$32,IF($D$32=JX$11,$M$32,""))))</f>
        <v/>
      </c>
      <c r="KA32" s="878" t="str">
        <f t="shared" si="79"/>
        <v/>
      </c>
      <c r="KB32" s="872" t="str">
        <f t="shared" si="80"/>
        <v/>
      </c>
      <c r="KC32" s="868" t="str">
        <f>IF($N$32="","",IF(AND($D$32=KA$11,$F$32&lt;&gt;""),$F$32,IF(AND($D$32=KA$11,$L$32&lt;&gt;""),$L$32,IF($D$32=KA$11,$M$32,""))))</f>
        <v/>
      </c>
      <c r="KD32" s="878" t="str">
        <f t="shared" si="81"/>
        <v/>
      </c>
      <c r="KE32" s="872" t="str">
        <f t="shared" si="82"/>
        <v/>
      </c>
      <c r="KF32" s="868" t="str">
        <f>IF($N$32="","",IF(AND($D$32=KD$11,$F$32&lt;&gt;""),$F$32,IF(AND($D$32=KD$11,$L$32&lt;&gt;""),$L$32,IF($D$32=KD$11,$M$32,""))))</f>
        <v/>
      </c>
      <c r="KG32" s="878" t="str">
        <f t="shared" si="83"/>
        <v/>
      </c>
      <c r="KH32" s="872" t="str">
        <f t="shared" si="84"/>
        <v/>
      </c>
      <c r="KI32" s="868" t="str">
        <f>IF($N$32="","",IF(AND($D$32=KG$11,$F$32&lt;&gt;""),$F$32,IF(AND($D$32=KG$11,$L$32&lt;&gt;""),$L$32,IF($D$32=KG$11,$M$32,""))))</f>
        <v/>
      </c>
      <c r="KJ32" s="878" t="str">
        <f t="shared" si="85"/>
        <v/>
      </c>
      <c r="KK32" s="872" t="str">
        <f t="shared" si="86"/>
        <v/>
      </c>
      <c r="KL32" s="868" t="str">
        <f>IF($N$32="","",IF(AND($D$32=KJ$11,$F$32&lt;&gt;""),$F$32,IF(AND($D$32=KJ$11,$L$32&lt;&gt;""),$L$32,IF($D$32=KJ$11,$M$32,""))))</f>
        <v/>
      </c>
      <c r="KM32" s="878" t="str">
        <f t="shared" si="87"/>
        <v/>
      </c>
      <c r="KN32" s="872" t="str">
        <f t="shared" si="88"/>
        <v/>
      </c>
      <c r="KO32" s="868" t="str">
        <f>IF($N$32="","",IF(AND($D$32=KM$11,$F$32&lt;&gt;""),$F$32,IF(AND($D$32=KM$11,$L$32&lt;&gt;""),$L$32,IF($D$32=KM$11,$M$32,""))))</f>
        <v/>
      </c>
      <c r="KP32" s="878" t="str">
        <f t="shared" si="89"/>
        <v/>
      </c>
      <c r="KQ32" s="872" t="str">
        <f t="shared" si="90"/>
        <v/>
      </c>
      <c r="KR32" s="868" t="str">
        <f>IF($N$32="","",IF(AND($D$32=KP$11,$F$32&lt;&gt;""),$F$32,IF(AND($D$32=KP$11,$L$32&lt;&gt;""),$L$32,IF($D$32=KP$11,$M$32,""))))</f>
        <v/>
      </c>
      <c r="KS32" s="878" t="str">
        <f t="shared" si="91"/>
        <v/>
      </c>
      <c r="KT32" s="872" t="str">
        <f t="shared" si="92"/>
        <v/>
      </c>
      <c r="KU32" s="868" t="str">
        <f>IF($N$32="","",IF(AND($D$32=KS$11,$F$32&lt;&gt;""),$F$32,IF(AND($D$32=KS$11,$L$32&lt;&gt;""),$L$32,IF($D$32=KS$11,$M$32,""))))</f>
        <v/>
      </c>
      <c r="KV32" s="878" t="str">
        <f t="shared" si="93"/>
        <v/>
      </c>
      <c r="KW32" s="872" t="str">
        <f t="shared" si="94"/>
        <v/>
      </c>
      <c r="KX32" s="868" t="str">
        <f>IF($N$32="","",IF(AND($D$32=KV$11,$F$32&lt;&gt;""),$F$32,IF(AND($D$32=KV$11,$L$32&lt;&gt;""),$L$32,IF($D$32=KV$11,$M$32,""))))</f>
        <v/>
      </c>
      <c r="KY32" s="878" t="str">
        <f t="shared" si="95"/>
        <v/>
      </c>
      <c r="KZ32" s="872" t="str">
        <f t="shared" si="96"/>
        <v/>
      </c>
      <c r="LA32" s="868" t="str">
        <f>IF($N$32="","",IF(AND($D$32=KY$11,$F$32&lt;&gt;""),$F$32,IF(AND($D$32=KY$11,$L$32&lt;&gt;""),$L$32,IF($D$32=KY$11,$M$32,""))))</f>
        <v/>
      </c>
      <c r="LB32" s="878" t="str">
        <f t="shared" si="97"/>
        <v/>
      </c>
      <c r="LC32" s="872" t="str">
        <f t="shared" si="98"/>
        <v/>
      </c>
      <c r="LD32" s="868" t="str">
        <f>IF($N$32="","",IF(AND($D$32=LB$11,$F$32&lt;&gt;""),$F$32,IF(AND($D$32=LB$11,$L$32&lt;&gt;""),$L$32,IF($D$32=LB$11,$M$32,""))))</f>
        <v/>
      </c>
      <c r="LE32" s="878" t="str">
        <f t="shared" si="99"/>
        <v/>
      </c>
      <c r="LF32" s="872" t="str">
        <f t="shared" si="100"/>
        <v/>
      </c>
      <c r="LG32" s="868" t="str">
        <f>IF($N$32="","",IF(AND($D$32=LE$11,$F$32&lt;&gt;""),$F$32,IF(AND($D$32=LE$11,$L$32&lt;&gt;""),$L$32,IF($D$32=LE$11,$M$32,""))))</f>
        <v/>
      </c>
      <c r="LH32"/>
      <c r="LI32"/>
      <c r="LJ32"/>
      <c r="LK32"/>
      <c r="LL32"/>
      <c r="LM32"/>
    </row>
    <row r="33" spans="1:325" ht="12.75" customHeight="1">
      <c r="A33" s="1212"/>
      <c r="B33" s="39">
        <v>2</v>
      </c>
      <c r="C33" s="101">
        <f t="shared" si="101"/>
        <v>3</v>
      </c>
      <c r="D33" s="517" t="str">
        <f t="shared" si="102"/>
        <v>Dimitry Khomitsevich</v>
      </c>
      <c r="E33" s="1011"/>
      <c r="F33" s="1015" t="str">
        <f t="shared" si="47"/>
        <v/>
      </c>
      <c r="G33" s="545"/>
      <c r="H33" s="1198" t="str">
        <f t="shared" si="48"/>
        <v/>
      </c>
      <c r="I33" s="1198"/>
      <c r="J33" s="1198"/>
      <c r="K33" s="1198"/>
      <c r="L33" s="508"/>
      <c r="M33" s="146" t="str">
        <f>IF(N32="","",IF(N32="B",3,IF(N33="B",2,IF(N34="B",1,IF(N35="B",0,0)))))</f>
        <v/>
      </c>
      <c r="N33" s="707"/>
      <c r="O33" s="268"/>
      <c r="P33" s="1212"/>
      <c r="Q33" s="39">
        <v>9</v>
      </c>
      <c r="R33" s="101">
        <f t="shared" si="49"/>
        <v>1</v>
      </c>
      <c r="S33" s="517" t="str">
        <f t="shared" si="50"/>
        <v>Daniil Ivanov</v>
      </c>
      <c r="T33" s="1011"/>
      <c r="U33" s="1015" t="str">
        <f t="shared" si="172"/>
        <v/>
      </c>
      <c r="V33" s="545"/>
      <c r="W33" s="1198" t="str">
        <f t="shared" si="52"/>
        <v/>
      </c>
      <c r="X33" s="1198"/>
      <c r="Y33" s="1198"/>
      <c r="Z33" s="1198"/>
      <c r="AA33" s="508"/>
      <c r="AB33" s="146" t="str">
        <f>IF(AC32="","",IF(AC32="B",3,IF(AC33="B",2,IF(AC34="B",1,IF(AC35="B",0,0)))))</f>
        <v/>
      </c>
      <c r="AC33" s="724"/>
      <c r="AD33" s="269"/>
      <c r="AE33" s="1217"/>
      <c r="AF33" s="101"/>
      <c r="AG33" s="101" t="str">
        <f t="shared" si="173"/>
        <v/>
      </c>
      <c r="AH33" s="517" t="str">
        <f>IF(AW32="B",AV32,IF(AW33="B",AV33,IF(AW34="B",AV34,IF(AW35="B",AV35,""))))</f>
        <v/>
      </c>
      <c r="AI33" s="522"/>
      <c r="AJ33" s="522"/>
      <c r="AK33" s="531"/>
      <c r="AL33" s="1215"/>
      <c r="AM33" s="1215"/>
      <c r="AN33" s="1215"/>
      <c r="AO33" s="1215"/>
      <c r="AP33" s="508"/>
      <c r="AQ33" s="146" t="str">
        <f>IF(AR32="","",IF(AR32="B",3,IF(AR33="B",2,IF(AR34="B",1,IF(AR35="B",0,0)))))</f>
        <v/>
      </c>
      <c r="AR33" s="724"/>
      <c r="AS33" s="269"/>
      <c r="AT33" s="290"/>
      <c r="AU33" s="290"/>
      <c r="AV33" s="454" t="str">
        <f>IF(AQ$27="","",IF(AY33&lt;&gt;"",AZ33,AV15))</f>
        <v/>
      </c>
      <c r="AW33" s="724"/>
      <c r="AX33" s="268"/>
      <c r="AY33" s="926"/>
      <c r="AZ33" s="1090" t="str">
        <f t="shared" ref="AZ33:AZ43" si="177">IF(AY33="","",VLOOKUP(AY33,$CV$3:$CW$20,2,FALSE))</f>
        <v/>
      </c>
      <c r="BA33" s="1091"/>
      <c r="BB33" s="1091"/>
      <c r="BC33" s="1091"/>
      <c r="BD33" s="1092"/>
      <c r="BM33" s="8" t="str">
        <f>$M33</f>
        <v/>
      </c>
      <c r="BR33" s="8" t="str">
        <f>$AB33</f>
        <v/>
      </c>
      <c r="BW33" s="8" t="str">
        <f>$AQ33</f>
        <v/>
      </c>
      <c r="BY33" s="8"/>
      <c r="CA33" s="762"/>
      <c r="CB33" s="13">
        <v>2</v>
      </c>
      <c r="CG33" s="13">
        <v>7</v>
      </c>
      <c r="CH33" s="13" t="str">
        <f t="shared" si="146"/>
        <v>Gunter Bauer</v>
      </c>
      <c r="CI33" s="770">
        <f t="shared" si="111"/>
        <v>0</v>
      </c>
      <c r="CU33" s="13">
        <f t="shared" si="147"/>
        <v>4</v>
      </c>
      <c r="CV33" s="13">
        <f t="shared" si="112"/>
        <v>4</v>
      </c>
      <c r="CW33" s="13" t="str">
        <f t="shared" si="112"/>
        <v>Igor Kononov</v>
      </c>
      <c r="CX33" s="13" t="str">
        <f t="shared" si="112"/>
        <v/>
      </c>
      <c r="CY33" s="13" t="str">
        <f t="shared" si="112"/>
        <v/>
      </c>
      <c r="CZ33" s="13" t="str">
        <f t="shared" si="112"/>
        <v/>
      </c>
      <c r="DA33" s="13" t="str">
        <f t="shared" si="112"/>
        <v/>
      </c>
      <c r="DC33" s="13">
        <f t="shared" si="148"/>
        <v>0</v>
      </c>
      <c r="DD33" s="243">
        <f t="shared" si="113"/>
        <v>0</v>
      </c>
      <c r="DE33" s="236">
        <f t="shared" si="149"/>
        <v>0</v>
      </c>
      <c r="DF33" s="232">
        <f t="shared" si="114"/>
        <v>0</v>
      </c>
      <c r="DG33" s="234">
        <f t="shared" si="150"/>
        <v>0</v>
      </c>
      <c r="DH33" s="232">
        <f t="shared" si="115"/>
        <v>0</v>
      </c>
      <c r="DI33" s="41">
        <f t="shared" si="151"/>
        <v>0</v>
      </c>
      <c r="DJ33" s="271">
        <f t="shared" si="116"/>
        <v>0</v>
      </c>
      <c r="DK33" s="273">
        <f t="shared" si="117"/>
        <v>0</v>
      </c>
      <c r="DL33" s="281">
        <f t="shared" si="118"/>
        <v>0</v>
      </c>
      <c r="DM33" s="239">
        <f t="shared" si="119"/>
        <v>5.6000000000000004E-7</v>
      </c>
      <c r="DN33" s="285">
        <f t="shared" si="120"/>
        <v>0</v>
      </c>
      <c r="DO33" s="285">
        <f t="shared" si="121"/>
        <v>0</v>
      </c>
      <c r="DP33" s="285">
        <f t="shared" si="122"/>
        <v>5.6000000000000004E-7</v>
      </c>
      <c r="DQ33" s="597"/>
      <c r="DR33" s="205">
        <f t="shared" si="152"/>
        <v>4</v>
      </c>
      <c r="DS33" s="4">
        <f t="shared" si="166"/>
        <v>4</v>
      </c>
      <c r="DT33" s="4">
        <f t="shared" si="168"/>
        <v>4</v>
      </c>
      <c r="DU33" s="4">
        <f t="shared" si="170"/>
        <v>4</v>
      </c>
      <c r="DV33" s="4">
        <f t="shared" si="174"/>
        <v>4</v>
      </c>
      <c r="DW33" s="4">
        <f t="shared" ref="DW33:DW42" si="178">IF($FO33=$FO$32,$CV9,"")</f>
        <v>4</v>
      </c>
      <c r="DX33" s="208"/>
      <c r="DY33" s="4">
        <f t="shared" si="124"/>
        <v>4</v>
      </c>
      <c r="DZ33" s="4">
        <f t="shared" si="125"/>
        <v>4</v>
      </c>
      <c r="EA33" s="4">
        <f t="shared" si="126"/>
        <v>4</v>
      </c>
      <c r="EB33" s="4">
        <f t="shared" si="127"/>
        <v>4</v>
      </c>
      <c r="EC33" s="4">
        <f t="shared" si="128"/>
        <v>4</v>
      </c>
      <c r="ED33" s="4">
        <f t="shared" si="129"/>
        <v>4</v>
      </c>
      <c r="EE33" s="4">
        <f t="shared" si="130"/>
        <v>4</v>
      </c>
      <c r="EF33" s="4">
        <f t="shared" si="131"/>
        <v>4</v>
      </c>
      <c r="EG33" s="225">
        <f t="shared" si="132"/>
        <v>4</v>
      </c>
      <c r="EH33" s="215">
        <f>$R$8</f>
        <v>4</v>
      </c>
      <c r="EI33" s="205" t="b">
        <f>IF(DR$33="","",FT$9)</f>
        <v>0</v>
      </c>
      <c r="EJ33" s="4" t="b">
        <f t="shared" ref="EJ33:EX33" si="179">IF(DS$33="","",FU$9)</f>
        <v>0</v>
      </c>
      <c r="EK33" s="4" t="b">
        <f t="shared" si="179"/>
        <v>0</v>
      </c>
      <c r="EL33" s="4" t="b">
        <f t="shared" si="179"/>
        <v>0</v>
      </c>
      <c r="EM33" s="4" t="b">
        <f t="shared" si="179"/>
        <v>0</v>
      </c>
      <c r="EN33" s="4" t="b">
        <f t="shared" si="179"/>
        <v>0</v>
      </c>
      <c r="EO33" s="208"/>
      <c r="EP33" s="4" t="b">
        <f t="shared" si="179"/>
        <v>0</v>
      </c>
      <c r="EQ33" s="4" t="b">
        <f t="shared" si="179"/>
        <v>0</v>
      </c>
      <c r="ER33" s="4" t="b">
        <f t="shared" si="179"/>
        <v>0</v>
      </c>
      <c r="ES33" s="4" t="b">
        <f t="shared" si="179"/>
        <v>0</v>
      </c>
      <c r="ET33" s="4" t="b">
        <f t="shared" si="179"/>
        <v>0</v>
      </c>
      <c r="EU33" s="4" t="b">
        <f t="shared" si="179"/>
        <v>0</v>
      </c>
      <c r="EV33" s="4" t="b">
        <f t="shared" si="179"/>
        <v>0</v>
      </c>
      <c r="EW33" s="4" t="b">
        <f t="shared" si="179"/>
        <v>0</v>
      </c>
      <c r="EX33" s="225" t="b">
        <f t="shared" si="179"/>
        <v>0</v>
      </c>
      <c r="EY33" s="230">
        <f t="shared" si="154"/>
        <v>0</v>
      </c>
      <c r="EZ33" s="13">
        <f t="shared" si="134"/>
        <v>4</v>
      </c>
      <c r="FA33" s="673">
        <f t="shared" si="135"/>
        <v>4</v>
      </c>
      <c r="FB33" s="666" t="str">
        <f t="shared" si="135"/>
        <v>Igor Kononov</v>
      </c>
      <c r="FC33" s="667">
        <f t="shared" si="155"/>
        <v>0</v>
      </c>
      <c r="FD33" s="667">
        <f t="shared" si="156"/>
        <v>0</v>
      </c>
      <c r="FE33" s="667">
        <f t="shared" si="157"/>
        <v>0</v>
      </c>
      <c r="FF33" s="667">
        <f t="shared" si="158"/>
        <v>0</v>
      </c>
      <c r="FG33" s="668">
        <f t="shared" si="136"/>
        <v>0</v>
      </c>
      <c r="FH33" s="669">
        <f t="shared" si="159"/>
        <v>0</v>
      </c>
      <c r="FI33" s="670">
        <f t="shared" si="160"/>
        <v>0</v>
      </c>
      <c r="FJ33" s="671">
        <f t="shared" si="161"/>
        <v>0</v>
      </c>
      <c r="FK33" s="672">
        <f t="shared" si="162"/>
        <v>0</v>
      </c>
      <c r="FL33" s="672">
        <f t="shared" si="163"/>
        <v>0</v>
      </c>
      <c r="FM33" s="672">
        <f t="shared" si="137"/>
        <v>0</v>
      </c>
      <c r="FN33" s="674">
        <f t="shared" si="164"/>
        <v>0</v>
      </c>
      <c r="FO33" s="674">
        <f>SUM(FH33+SUM(FJ33:FN33))</f>
        <v>0</v>
      </c>
      <c r="FP33" s="672">
        <f t="shared" si="139"/>
        <v>0</v>
      </c>
      <c r="FQ33" s="685">
        <f t="shared" si="140"/>
        <v>0</v>
      </c>
      <c r="FR33" s="58">
        <f t="shared" si="141"/>
        <v>18</v>
      </c>
      <c r="FS33" s="289">
        <f t="shared" si="165"/>
        <v>0</v>
      </c>
      <c r="FT33" s="1196">
        <f t="shared" si="142"/>
        <v>0</v>
      </c>
      <c r="FU33" s="1196"/>
      <c r="FV33" s="1196"/>
      <c r="FW33" s="1196"/>
      <c r="FX33" s="672">
        <f t="shared" si="143"/>
        <v>5.6000000000000004E-7</v>
      </c>
      <c r="FY33" s="1193">
        <f t="shared" si="176"/>
        <v>5.6000000000000004E-7</v>
      </c>
      <c r="FZ33" s="1193"/>
      <c r="GA33" s="1193"/>
      <c r="GB33" s="1193"/>
      <c r="GC33" s="1193"/>
      <c r="GJ33" s="290"/>
      <c r="GK33" s="626" t="str">
        <f>AG37</f>
        <v/>
      </c>
      <c r="GL33" s="634" t="str">
        <f>IF(AQ37&gt;AQ36,GK33,IF(AQ37&lt;AQ36,GL31,""))</f>
        <v/>
      </c>
      <c r="GM33" s="628" t="s">
        <v>197</v>
      </c>
      <c r="GN33" s="635" t="str">
        <f>IF(AQ37&gt;AQ38,GK33,IF(AQ37&lt;AQ38,GN31,""))</f>
        <v/>
      </c>
      <c r="GO33" s="636" t="str">
        <f>IF(AQ37&gt;AQ39,GK33,IF(AQ37&lt;AQ39,GO31,""))</f>
        <v/>
      </c>
      <c r="GP33" s="682">
        <f>COUNTIF(GL33:GO33,GK33)</f>
        <v>3</v>
      </c>
      <c r="GW33" s="1144"/>
      <c r="GX33" s="230" t="str">
        <f>IF($N$32="","",IF($IW$33=$GX$3,$IX$33,IF(AND($H$33=$GX$3,$L$33&lt;&gt;""),$L$33,IF(AND($H$33=$GX$3,$L$33=""),$M$33,""))))</f>
        <v/>
      </c>
      <c r="GY33" s="301">
        <v>59</v>
      </c>
      <c r="GZ33" s="5" t="str">
        <f t="shared" si="105"/>
        <v/>
      </c>
      <c r="HA33" s="95" t="str">
        <f t="shared" si="62"/>
        <v/>
      </c>
      <c r="HB33" s="5"/>
      <c r="HC33" s="95" t="str">
        <f t="shared" si="106"/>
        <v/>
      </c>
      <c r="HG33" s="1144"/>
      <c r="HH33" s="230" t="str">
        <f>IF($N$32="","",IF($IW$33=$HH$3,$IX$33,IF(AND($H$33=$HH$3,$L$33&lt;&gt;""),$L$33,IF(AND($H$33=$HH$3,$L$33=""),$M$33,""))))</f>
        <v/>
      </c>
      <c r="HI33" s="301">
        <v>59</v>
      </c>
      <c r="HJ33" s="5" t="str">
        <f t="shared" si="107"/>
        <v/>
      </c>
      <c r="HK33" s="95" t="str">
        <f t="shared" si="63"/>
        <v/>
      </c>
      <c r="HL33" s="5"/>
      <c r="HM33" s="95" t="str">
        <f t="shared" si="64"/>
        <v/>
      </c>
      <c r="HN33" s="1149"/>
      <c r="HO33" s="131" t="str">
        <f>IF($H29="",$D29,$H29)</f>
        <v>Franz Zorn</v>
      </c>
      <c r="HP33" s="884" t="str">
        <f>M29</f>
        <v/>
      </c>
      <c r="HQ33" s="327" t="str">
        <f>IF($L29="","",$L29)</f>
        <v/>
      </c>
      <c r="HR33" s="327">
        <v>0.03</v>
      </c>
      <c r="HS33" s="458" t="str">
        <f t="shared" si="144"/>
        <v/>
      </c>
      <c r="HT33" s="327" t="e">
        <f>RANK(HS33,HS32:HS35)+COUNTIF(HS32:HS33,HS33)-1</f>
        <v>#VALUE!</v>
      </c>
      <c r="HU33" s="327" t="str">
        <f>IF(HQ33="",HO33,HO33&amp;" ("&amp;HQ33&amp;")")</f>
        <v>Franz Zorn</v>
      </c>
      <c r="HV33" s="328">
        <v>2</v>
      </c>
      <c r="HW33" s="337" t="str">
        <f>IF(N28="","",VLOOKUP(HV33,HT32:HU35,2,FALSE))</f>
        <v/>
      </c>
      <c r="HX33" s="1149"/>
      <c r="HY33" s="131" t="str">
        <f>IF($W29="",$S29,$W29)</f>
        <v>Daniel Henderson</v>
      </c>
      <c r="HZ33" s="327" t="str">
        <f>AB29</f>
        <v/>
      </c>
      <c r="IA33" s="327" t="str">
        <f>IF($AA29="","",$AA29)</f>
        <v/>
      </c>
      <c r="IB33" s="327">
        <v>0.03</v>
      </c>
      <c r="IC33" s="458" t="str">
        <f t="shared" si="145"/>
        <v/>
      </c>
      <c r="ID33" s="327" t="e">
        <f>RANK(IC33,IC32:IC35)+COUNTIF(IC32:IC33,IC33)-1</f>
        <v>#VALUE!</v>
      </c>
      <c r="IE33" s="327" t="str">
        <f>IF(IA33="",HY33,HY33&amp;" ("&amp;IA33&amp;")")</f>
        <v>Daniel Henderson</v>
      </c>
      <c r="IF33" s="344">
        <v>2</v>
      </c>
      <c r="IG33" s="337" t="str">
        <f>IF(AC28="","",VLOOKUP(IF33,ID32:IE35,2,FALSE))</f>
        <v/>
      </c>
      <c r="IH33"/>
      <c r="II33"/>
      <c r="IJ33"/>
      <c r="IK33"/>
      <c r="IL33"/>
      <c r="IM33"/>
      <c r="IN33"/>
      <c r="IO33"/>
      <c r="IP33"/>
      <c r="IQ33"/>
      <c r="IR33"/>
      <c r="IU33" s="1112"/>
      <c r="IV33" s="698"/>
      <c r="IW33" s="699" t="str">
        <f t="shared" si="68"/>
        <v/>
      </c>
      <c r="IX33" s="700"/>
      <c r="IZ33" s="1112"/>
      <c r="JA33" s="698"/>
      <c r="JB33" s="699" t="str">
        <f t="shared" si="69"/>
        <v/>
      </c>
      <c r="JC33" s="700"/>
      <c r="JE33" s="705"/>
      <c r="JF33" s="705"/>
      <c r="JG33" s="705"/>
      <c r="JH33" s="705"/>
      <c r="JI33" s="705"/>
      <c r="JJ33" s="1335"/>
      <c r="JK33" s="876">
        <v>59</v>
      </c>
      <c r="JL33" s="879" t="str">
        <f t="shared" si="108"/>
        <v/>
      </c>
      <c r="JM33" s="655" t="str">
        <f t="shared" si="71"/>
        <v/>
      </c>
      <c r="JN33" s="869" t="str">
        <f>IF($N$32="","",IF(AND($D$33=JL$11,$F$33&lt;&gt;""),$F$33,IF(AND($D$33=JL$11,$L$33&lt;&gt;""),$L$33,IF($D$33=JL$11,$M$33,""))))</f>
        <v/>
      </c>
      <c r="JO33" s="879" t="str">
        <f t="shared" si="109"/>
        <v/>
      </c>
      <c r="JP33" s="655" t="str">
        <f t="shared" si="72"/>
        <v/>
      </c>
      <c r="JQ33" s="869" t="str">
        <f>IF($N$32="","",IF(AND($D$33=JO$11,$F$33&lt;&gt;""),$F$33,IF(AND($D$33=JO$11,$L$33&lt;&gt;""),$L$33,IF($D$33=JO$11,$M$33,""))))</f>
        <v/>
      </c>
      <c r="JR33" s="879" t="str">
        <f t="shared" si="73"/>
        <v/>
      </c>
      <c r="JS33" s="655" t="str">
        <f t="shared" si="74"/>
        <v/>
      </c>
      <c r="JT33" s="869" t="str">
        <f>IF($N$32="","",IF(AND($D$33=JR$11,$F$33&lt;&gt;""),$F$33,IF(AND($D$33=JR$11,$L$33&lt;&gt;""),$L$33,IF($D$33=JR$11,$M$33,""))))</f>
        <v/>
      </c>
      <c r="JU33" s="879" t="str">
        <f t="shared" si="75"/>
        <v/>
      </c>
      <c r="JV33" s="655" t="str">
        <f t="shared" si="76"/>
        <v/>
      </c>
      <c r="JW33" s="869" t="str">
        <f>IF($N$32="","",IF(AND($D$33=JU$11,$F$33&lt;&gt;""),$F$33,IF(AND($D$33=JU$11,$L$33&lt;&gt;""),$L$33,IF($D$33=JU$11,$M$33,""))))</f>
        <v/>
      </c>
      <c r="JX33" s="879" t="str">
        <f t="shared" si="77"/>
        <v/>
      </c>
      <c r="JY33" s="655" t="str">
        <f t="shared" si="78"/>
        <v/>
      </c>
      <c r="JZ33" s="869" t="str">
        <f>IF($N$32="","",IF(AND($D$33=JX$11,$F$33&lt;&gt;""),$F$33,IF(AND($D$33=JX$11,$L$33&lt;&gt;""),$L$33,IF($D$33=JX$11,$M$33,""))))</f>
        <v/>
      </c>
      <c r="KA33" s="879" t="str">
        <f t="shared" si="79"/>
        <v/>
      </c>
      <c r="KB33" s="655" t="str">
        <f t="shared" si="80"/>
        <v/>
      </c>
      <c r="KC33" s="869" t="str">
        <f>IF($N$32="","",IF(AND($D$33=KA$11,$F$33&lt;&gt;""),$F$33,IF(AND($D$33=KA$11,$L$33&lt;&gt;""),$L$33,IF($D$33=KA$11,$M$33,""))))</f>
        <v/>
      </c>
      <c r="KD33" s="879" t="str">
        <f t="shared" si="81"/>
        <v/>
      </c>
      <c r="KE33" s="655" t="str">
        <f t="shared" si="82"/>
        <v/>
      </c>
      <c r="KF33" s="869" t="str">
        <f>IF($N$32="","",IF(AND($D$33=KD$11,$F$33&lt;&gt;""),$F$33,IF(AND($D$33=KD$11,$L$33&lt;&gt;""),$L$33,IF($D$33=KD$11,$M$33,""))))</f>
        <v/>
      </c>
      <c r="KG33" s="879" t="str">
        <f t="shared" si="83"/>
        <v/>
      </c>
      <c r="KH33" s="655" t="str">
        <f t="shared" si="84"/>
        <v/>
      </c>
      <c r="KI33" s="869" t="str">
        <f>IF($N$32="","",IF(AND($D$33=KG$11,$F$33&lt;&gt;""),$F$33,IF(AND($D$33=KG$11,$L$33&lt;&gt;""),$L$33,IF($D$33=KG$11,$M$33,""))))</f>
        <v/>
      </c>
      <c r="KJ33" s="879" t="str">
        <f t="shared" si="85"/>
        <v/>
      </c>
      <c r="KK33" s="655" t="str">
        <f t="shared" si="86"/>
        <v/>
      </c>
      <c r="KL33" s="869" t="str">
        <f>IF($N$32="","",IF(AND($D$33=KJ$11,$F$33&lt;&gt;""),$F$33,IF(AND($D$33=KJ$11,$L$33&lt;&gt;""),$L$33,IF($D$33=KJ$11,$M$33,""))))</f>
        <v/>
      </c>
      <c r="KM33" s="879" t="str">
        <f t="shared" si="87"/>
        <v/>
      </c>
      <c r="KN33" s="655" t="str">
        <f t="shared" si="88"/>
        <v/>
      </c>
      <c r="KO33" s="869" t="str">
        <f>IF($N$32="","",IF(AND($D$33=KM$11,$F$33&lt;&gt;""),$F$33,IF(AND($D$33=KM$11,$L$33&lt;&gt;""),$L$33,IF($D$33=KM$11,$M$33,""))))</f>
        <v/>
      </c>
      <c r="KP33" s="879" t="str">
        <f t="shared" si="89"/>
        <v/>
      </c>
      <c r="KQ33" s="655" t="str">
        <f t="shared" si="90"/>
        <v/>
      </c>
      <c r="KR33" s="869" t="str">
        <f>IF($N$32="","",IF(AND($D$33=KP$11,$F$33&lt;&gt;""),$F$33,IF(AND($D$33=KP$11,$L$33&lt;&gt;""),$L$33,IF($D$33=KP$11,$M$33,""))))</f>
        <v/>
      </c>
      <c r="KS33" s="879" t="str">
        <f t="shared" si="91"/>
        <v/>
      </c>
      <c r="KT33" s="655" t="str">
        <f t="shared" si="92"/>
        <v/>
      </c>
      <c r="KU33" s="869" t="str">
        <f>IF($N$32="","",IF(AND($D$33=KS$11,$F$33&lt;&gt;""),$F$33,IF(AND($D$33=KS$11,$L$33&lt;&gt;""),$L$33,IF($D$33=KS$11,$M$33,""))))</f>
        <v/>
      </c>
      <c r="KV33" s="879" t="str">
        <f t="shared" si="93"/>
        <v/>
      </c>
      <c r="KW33" s="655" t="str">
        <f t="shared" si="94"/>
        <v/>
      </c>
      <c r="KX33" s="869" t="str">
        <f>IF($N$32="","",IF(AND($D$33=KV$11,$F$33&lt;&gt;""),$F$33,IF(AND($D$33=KV$11,$L$33&lt;&gt;""),$L$33,IF($D$33=KV$11,$M$33,""))))</f>
        <v/>
      </c>
      <c r="KY33" s="879" t="str">
        <f t="shared" si="95"/>
        <v/>
      </c>
      <c r="KZ33" s="655" t="str">
        <f t="shared" si="96"/>
        <v/>
      </c>
      <c r="LA33" s="869" t="str">
        <f>IF($N$32="","",IF(AND($D$33=KY$11,$F$33&lt;&gt;""),$F$33,IF(AND($D$33=KY$11,$L$33&lt;&gt;""),$L$33,IF($D$33=KY$11,$M$33,""))))</f>
        <v/>
      </c>
      <c r="LB33" s="879" t="str">
        <f t="shared" si="97"/>
        <v/>
      </c>
      <c r="LC33" s="655" t="str">
        <f t="shared" si="98"/>
        <v/>
      </c>
      <c r="LD33" s="869" t="str">
        <f>IF($N$32="","",IF(AND($D$33=LB$11,$F$33&lt;&gt;""),$F$33,IF(AND($D$33=LB$11,$L$33&lt;&gt;""),$L$33,IF($D$33=LB$11,$M$33,""))))</f>
        <v/>
      </c>
      <c r="LE33" s="879" t="str">
        <f t="shared" si="99"/>
        <v/>
      </c>
      <c r="LF33" s="655" t="str">
        <f t="shared" si="100"/>
        <v/>
      </c>
      <c r="LG33" s="869" t="str">
        <f>IF($N$32="","",IF(AND($D$33=LE$11,$F$33&lt;&gt;""),$F$33,IF(AND($D$33=LE$11,$L$33&lt;&gt;""),$L$33,IF($D$33=LE$11,$M$33,""))))</f>
        <v/>
      </c>
      <c r="LH33"/>
      <c r="LI33"/>
      <c r="LJ33"/>
      <c r="LK33"/>
      <c r="LL33"/>
      <c r="LM33"/>
    </row>
    <row r="34" spans="1:325" ht="12.75" customHeight="1">
      <c r="A34" s="1212"/>
      <c r="B34" s="39">
        <v>6</v>
      </c>
      <c r="C34" s="102">
        <f t="shared" si="101"/>
        <v>16</v>
      </c>
      <c r="D34" s="517" t="str">
        <f t="shared" si="102"/>
        <v>Rene Stellingwerf</v>
      </c>
      <c r="E34" s="1011"/>
      <c r="F34" s="1015" t="str">
        <f t="shared" si="47"/>
        <v/>
      </c>
      <c r="G34" s="545"/>
      <c r="H34" s="1198" t="str">
        <f t="shared" si="48"/>
        <v/>
      </c>
      <c r="I34" s="1198"/>
      <c r="J34" s="1198"/>
      <c r="K34" s="1198"/>
      <c r="L34" s="508"/>
      <c r="M34" s="146" t="str">
        <f>IF(N32="","",IF(N32="w",3,IF(N33="w",2,IF(N34="w",1,IF(N35="w",0,0)))))</f>
        <v/>
      </c>
      <c r="N34" s="707"/>
      <c r="O34" s="268"/>
      <c r="P34" s="1212"/>
      <c r="Q34" s="39">
        <v>1</v>
      </c>
      <c r="R34" s="102">
        <f t="shared" si="49"/>
        <v>9</v>
      </c>
      <c r="S34" s="517" t="str">
        <f t="shared" si="50"/>
        <v>Per-Anders Lindstrom</v>
      </c>
      <c r="T34" s="1011"/>
      <c r="U34" s="1015" t="str">
        <f t="shared" si="172"/>
        <v/>
      </c>
      <c r="V34" s="545"/>
      <c r="W34" s="1198" t="str">
        <f t="shared" si="52"/>
        <v/>
      </c>
      <c r="X34" s="1198"/>
      <c r="Y34" s="1198"/>
      <c r="Z34" s="1198"/>
      <c r="AA34" s="508"/>
      <c r="AB34" s="146" t="str">
        <f>IF(AC32="","",IF(AC32="w",3,IF(AC33="w",2,IF(AC34="w",1,IF(AC35="w",0,0)))))</f>
        <v/>
      </c>
      <c r="AC34" s="724"/>
      <c r="AD34" s="269"/>
      <c r="AE34" s="1217"/>
      <c r="AF34" s="102"/>
      <c r="AG34" s="102" t="str">
        <f t="shared" si="173"/>
        <v/>
      </c>
      <c r="AH34" s="517" t="str">
        <f>IF(AW32="W",AV32,IF(AW33="W",AV33,IF(AW34="W",AV34,IF(AW35="W",AV35,""))))</f>
        <v/>
      </c>
      <c r="AI34" s="522"/>
      <c r="AJ34" s="522"/>
      <c r="AK34" s="531"/>
      <c r="AL34" s="1215"/>
      <c r="AM34" s="1215"/>
      <c r="AN34" s="1215"/>
      <c r="AO34" s="1215"/>
      <c r="AP34" s="508"/>
      <c r="AQ34" s="146" t="str">
        <f>IF(AR32="","",IF(AR32="w",3,IF(AR33="w",2,IF(AR34="w",1,IF(AR35="w",0,0)))))</f>
        <v/>
      </c>
      <c r="AR34" s="724"/>
      <c r="AS34" s="269"/>
      <c r="AT34" s="290"/>
      <c r="AU34" s="290"/>
      <c r="AV34" s="454" t="str">
        <f>IF(AQ$27="","",IF(AY34&lt;&gt;"",AZ34,AV17))</f>
        <v/>
      </c>
      <c r="AW34" s="724"/>
      <c r="AX34" s="268"/>
      <c r="AY34" s="926"/>
      <c r="AZ34" s="1090" t="str">
        <f t="shared" si="177"/>
        <v/>
      </c>
      <c r="BA34" s="1091"/>
      <c r="BB34" s="1091"/>
      <c r="BC34" s="1091"/>
      <c r="BD34" s="1092"/>
      <c r="BN34" s="8" t="str">
        <f>$M34</f>
        <v/>
      </c>
      <c r="BS34" s="8" t="str">
        <f>$AB34</f>
        <v/>
      </c>
      <c r="BX34" s="8" t="str">
        <f>$AQ34</f>
        <v/>
      </c>
      <c r="BY34" s="8"/>
      <c r="CA34" s="762"/>
      <c r="CB34" s="13">
        <v>3</v>
      </c>
      <c r="CG34" s="13">
        <v>8</v>
      </c>
      <c r="CH34" s="13" t="str">
        <f t="shared" si="146"/>
        <v>Stefan Pletschacher</v>
      </c>
      <c r="CI34" s="770">
        <f t="shared" si="111"/>
        <v>0</v>
      </c>
      <c r="CU34" s="13">
        <f t="shared" si="147"/>
        <v>7</v>
      </c>
      <c r="CV34" s="13">
        <f t="shared" si="112"/>
        <v>7</v>
      </c>
      <c r="CW34" s="13" t="str">
        <f t="shared" si="112"/>
        <v>Gunter Bauer</v>
      </c>
      <c r="CX34" s="13" t="str">
        <f t="shared" si="112"/>
        <v/>
      </c>
      <c r="CY34" s="13" t="str">
        <f t="shared" si="112"/>
        <v/>
      </c>
      <c r="CZ34" s="13" t="str">
        <f t="shared" si="112"/>
        <v/>
      </c>
      <c r="DA34" s="13" t="str">
        <f t="shared" si="112"/>
        <v/>
      </c>
      <c r="DC34" s="13">
        <f t="shared" si="148"/>
        <v>0</v>
      </c>
      <c r="DD34" s="243">
        <f t="shared" si="113"/>
        <v>0</v>
      </c>
      <c r="DE34" s="236">
        <f t="shared" si="149"/>
        <v>0</v>
      </c>
      <c r="DF34" s="232">
        <f t="shared" si="114"/>
        <v>0</v>
      </c>
      <c r="DG34" s="234">
        <f t="shared" si="150"/>
        <v>0</v>
      </c>
      <c r="DH34" s="232">
        <f t="shared" si="115"/>
        <v>0</v>
      </c>
      <c r="DI34" s="41">
        <f t="shared" si="151"/>
        <v>0</v>
      </c>
      <c r="DJ34" s="271">
        <f t="shared" si="116"/>
        <v>0</v>
      </c>
      <c r="DK34" s="273">
        <f t="shared" si="117"/>
        <v>0</v>
      </c>
      <c r="DL34" s="281">
        <f t="shared" si="118"/>
        <v>0</v>
      </c>
      <c r="DM34" s="238">
        <f t="shared" si="119"/>
        <v>5.3000000000000001E-7</v>
      </c>
      <c r="DN34" s="284">
        <f t="shared" si="120"/>
        <v>0</v>
      </c>
      <c r="DO34" s="284">
        <f t="shared" si="121"/>
        <v>0</v>
      </c>
      <c r="DP34" s="284">
        <f t="shared" si="122"/>
        <v>5.3000000000000001E-7</v>
      </c>
      <c r="DQ34" s="597"/>
      <c r="DR34" s="205">
        <f t="shared" si="152"/>
        <v>7</v>
      </c>
      <c r="DS34" s="4">
        <f t="shared" si="166"/>
        <v>7</v>
      </c>
      <c r="DT34" s="4">
        <f t="shared" si="168"/>
        <v>7</v>
      </c>
      <c r="DU34" s="4">
        <f t="shared" si="170"/>
        <v>7</v>
      </c>
      <c r="DV34" s="4">
        <f t="shared" si="174"/>
        <v>7</v>
      </c>
      <c r="DW34" s="4">
        <f t="shared" si="178"/>
        <v>7</v>
      </c>
      <c r="DX34" s="4">
        <f t="shared" ref="DX34:DX42" si="180">IF($FO34=$FO$33,$CV10,"")</f>
        <v>7</v>
      </c>
      <c r="DY34" s="208"/>
      <c r="DZ34" s="4">
        <f t="shared" si="125"/>
        <v>7</v>
      </c>
      <c r="EA34" s="4">
        <f t="shared" si="126"/>
        <v>7</v>
      </c>
      <c r="EB34" s="4">
        <f t="shared" si="127"/>
        <v>7</v>
      </c>
      <c r="EC34" s="4">
        <f t="shared" si="128"/>
        <v>7</v>
      </c>
      <c r="ED34" s="4">
        <f t="shared" si="129"/>
        <v>7</v>
      </c>
      <c r="EE34" s="4">
        <f t="shared" si="130"/>
        <v>7</v>
      </c>
      <c r="EF34" s="4">
        <f t="shared" si="131"/>
        <v>7</v>
      </c>
      <c r="EG34" s="225">
        <f t="shared" si="132"/>
        <v>7</v>
      </c>
      <c r="EH34" s="215">
        <f>$R$9</f>
        <v>7</v>
      </c>
      <c r="EI34" s="205" t="b">
        <f>IF(DR$34="","",FT$10)</f>
        <v>0</v>
      </c>
      <c r="EJ34" s="4" t="b">
        <f t="shared" ref="EJ34:EX34" si="181">IF(DS$34="","",FU$10)</f>
        <v>0</v>
      </c>
      <c r="EK34" s="4" t="b">
        <f t="shared" si="181"/>
        <v>0</v>
      </c>
      <c r="EL34" s="4" t="b">
        <f t="shared" si="181"/>
        <v>0</v>
      </c>
      <c r="EM34" s="4" t="b">
        <f t="shared" si="181"/>
        <v>0</v>
      </c>
      <c r="EN34" s="4" t="b">
        <f t="shared" si="181"/>
        <v>0</v>
      </c>
      <c r="EO34" s="4" t="b">
        <f t="shared" si="181"/>
        <v>0</v>
      </c>
      <c r="EP34" s="208"/>
      <c r="EQ34" s="4" t="b">
        <f t="shared" si="181"/>
        <v>0</v>
      </c>
      <c r="ER34" s="4" t="b">
        <f t="shared" si="181"/>
        <v>0</v>
      </c>
      <c r="ES34" s="4" t="b">
        <f t="shared" si="181"/>
        <v>0</v>
      </c>
      <c r="ET34" s="4" t="b">
        <f t="shared" si="181"/>
        <v>0</v>
      </c>
      <c r="EU34" s="4" t="b">
        <f t="shared" si="181"/>
        <v>0</v>
      </c>
      <c r="EV34" s="4" t="b">
        <f t="shared" si="181"/>
        <v>0</v>
      </c>
      <c r="EW34" s="4" t="b">
        <f t="shared" si="181"/>
        <v>0</v>
      </c>
      <c r="EX34" s="225" t="b">
        <f t="shared" si="181"/>
        <v>0</v>
      </c>
      <c r="EY34" s="230">
        <f t="shared" si="154"/>
        <v>0</v>
      </c>
      <c r="EZ34" s="13">
        <f t="shared" si="134"/>
        <v>7</v>
      </c>
      <c r="FA34" s="673">
        <f t="shared" si="135"/>
        <v>7</v>
      </c>
      <c r="FB34" s="666" t="str">
        <f t="shared" si="135"/>
        <v>Gunter Bauer</v>
      </c>
      <c r="FC34" s="667">
        <f t="shared" si="155"/>
        <v>0</v>
      </c>
      <c r="FD34" s="667">
        <f t="shared" si="156"/>
        <v>0</v>
      </c>
      <c r="FE34" s="667">
        <f t="shared" si="157"/>
        <v>0</v>
      </c>
      <c r="FF34" s="667">
        <f t="shared" si="158"/>
        <v>0</v>
      </c>
      <c r="FG34" s="668">
        <f t="shared" si="136"/>
        <v>0</v>
      </c>
      <c r="FH34" s="728">
        <f t="shared" si="159"/>
        <v>0</v>
      </c>
      <c r="FI34" s="729">
        <f t="shared" si="160"/>
        <v>0</v>
      </c>
      <c r="FJ34" s="730">
        <f t="shared" si="161"/>
        <v>0</v>
      </c>
      <c r="FK34" s="731">
        <f t="shared" si="162"/>
        <v>0</v>
      </c>
      <c r="FL34" s="731">
        <f t="shared" si="163"/>
        <v>0</v>
      </c>
      <c r="FM34" s="731">
        <f t="shared" si="137"/>
        <v>0</v>
      </c>
      <c r="FN34" s="732">
        <f t="shared" si="164"/>
        <v>0</v>
      </c>
      <c r="FO34" s="732">
        <f t="shared" ref="FO34:FO44" si="182">SUM(FH34+SUM(FJ34:FN34))</f>
        <v>0</v>
      </c>
      <c r="FP34" s="672">
        <f t="shared" si="139"/>
        <v>0</v>
      </c>
      <c r="FQ34" s="685">
        <f t="shared" si="140"/>
        <v>0</v>
      </c>
      <c r="FR34" s="58">
        <f t="shared" si="141"/>
        <v>18</v>
      </c>
      <c r="FS34" s="289">
        <f t="shared" si="165"/>
        <v>0</v>
      </c>
      <c r="FT34" s="1196">
        <f t="shared" si="142"/>
        <v>0</v>
      </c>
      <c r="FU34" s="1196"/>
      <c r="FV34" s="1196"/>
      <c r="FW34" s="1196"/>
      <c r="FX34" s="727">
        <f t="shared" si="143"/>
        <v>5.3000000000000001E-7</v>
      </c>
      <c r="FY34" s="1193">
        <f t="shared" si="176"/>
        <v>5.3000000000000001E-7</v>
      </c>
      <c r="FZ34" s="1193"/>
      <c r="GA34" s="1193"/>
      <c r="GB34" s="1193"/>
      <c r="GC34" s="1193"/>
      <c r="GD34"/>
      <c r="GE34"/>
      <c r="GF34"/>
      <c r="GG34"/>
      <c r="GH34" s="290"/>
      <c r="GJ34" s="290"/>
      <c r="GK34" s="626" t="str">
        <f>AG38</f>
        <v/>
      </c>
      <c r="GL34" s="634" t="str">
        <f>IF(AQ38&gt;AQ36,GK34,IF(AQ38&lt;AQ36,GL31,""))</f>
        <v/>
      </c>
      <c r="GM34" s="635" t="str">
        <f>IF(AQ38&gt;AQ37,GK34,IF(AQ38&lt;AQ37,GM31,""))</f>
        <v/>
      </c>
      <c r="GN34" s="628" t="s">
        <v>197</v>
      </c>
      <c r="GO34" s="636" t="str">
        <f>IF(AQ38&gt;AQ39,GK34,IF(AQ38&lt;AQ39,GO31,""))</f>
        <v/>
      </c>
      <c r="GP34" s="682">
        <f>COUNTIF(GL34:GO34,GK34)</f>
        <v>3</v>
      </c>
      <c r="GW34" s="1144"/>
      <c r="GX34" s="230" t="str">
        <f>IF($N$32="","",IF($IW$34=$GX$3,$IX$34,IF(AND($H$34=$GX$3,$L$34&lt;&gt;""),$L$34,IF(AND($H$34=$GX$3,$L$34=""),$M$34,""))))</f>
        <v/>
      </c>
      <c r="GY34" s="301">
        <v>58</v>
      </c>
      <c r="GZ34" s="5" t="str">
        <f t="shared" si="105"/>
        <v/>
      </c>
      <c r="HA34" s="95" t="str">
        <f t="shared" si="62"/>
        <v/>
      </c>
      <c r="HB34" s="5"/>
      <c r="HC34" s="95" t="str">
        <f t="shared" si="106"/>
        <v/>
      </c>
      <c r="HG34" s="1144"/>
      <c r="HH34" s="230" t="str">
        <f>IF($N$32="","",IF($IW$34=$HH$3,$IX$34,IF(AND($H$34=$HH$3,$L$34&lt;&gt;""),$L$34,IF(AND($H$34=$HH$3,$L$34=""),$M$34,""))))</f>
        <v/>
      </c>
      <c r="HI34" s="301">
        <v>58</v>
      </c>
      <c r="HJ34" s="5" t="str">
        <f t="shared" si="107"/>
        <v/>
      </c>
      <c r="HK34" s="95" t="str">
        <f t="shared" si="63"/>
        <v/>
      </c>
      <c r="HL34" s="5"/>
      <c r="HM34" s="95" t="str">
        <f t="shared" si="64"/>
        <v/>
      </c>
      <c r="HN34" s="1149"/>
      <c r="HO34" s="131" t="str">
        <f>IF($H30="",$D30,$H30)</f>
        <v>Jan Klatovsky</v>
      </c>
      <c r="HP34" s="884" t="str">
        <f>M30</f>
        <v/>
      </c>
      <c r="HQ34" s="327" t="str">
        <f>IF($L30="","",$L30)</f>
        <v/>
      </c>
      <c r="HR34" s="327">
        <v>0.02</v>
      </c>
      <c r="HS34" s="458" t="str">
        <f t="shared" si="144"/>
        <v/>
      </c>
      <c r="HT34" s="327" t="e">
        <f>RANK(HS34,HS32:HS35)+COUNTIF(HS32:HS34,HS34)-1</f>
        <v>#VALUE!</v>
      </c>
      <c r="HU34" s="327" t="str">
        <f>IF(HQ34="",HO34,HO34&amp;" ("&amp;HQ34&amp;")")</f>
        <v>Jan Klatovsky</v>
      </c>
      <c r="HV34" s="328">
        <v>3</v>
      </c>
      <c r="HW34" s="337" t="str">
        <f>IF(N28="","",VLOOKUP(HV34,HT32:HU35,2,FALSE))</f>
        <v/>
      </c>
      <c r="HX34" s="1149"/>
      <c r="HY34" s="131" t="str">
        <f>IF($W30="",$S30,$W30)</f>
        <v>Igor Kononov</v>
      </c>
      <c r="HZ34" s="327" t="str">
        <f>AB30</f>
        <v/>
      </c>
      <c r="IA34" s="327" t="str">
        <f>IF($AA30="","",$AA30)</f>
        <v/>
      </c>
      <c r="IB34" s="327">
        <v>0.02</v>
      </c>
      <c r="IC34" s="458" t="str">
        <f t="shared" si="145"/>
        <v/>
      </c>
      <c r="ID34" s="327" t="e">
        <f>RANK(IC34,IC32:IC35)+COUNTIF(IC32:IC34,IC34)-1</f>
        <v>#VALUE!</v>
      </c>
      <c r="IE34" s="327" t="str">
        <f>IF(IA34="",HY34,HY34&amp;" ("&amp;IA34&amp;")")</f>
        <v>Igor Kononov</v>
      </c>
      <c r="IF34" s="344">
        <v>3</v>
      </c>
      <c r="IG34" s="337" t="str">
        <f>IF(AC28="","",VLOOKUP(IF34,ID32:IE35,2,FALSE))</f>
        <v/>
      </c>
      <c r="IH34"/>
      <c r="II34"/>
      <c r="IJ34"/>
      <c r="IK34"/>
      <c r="IL34"/>
      <c r="IM34"/>
      <c r="IN34"/>
      <c r="IO34"/>
      <c r="IP34"/>
      <c r="IQ34"/>
      <c r="IR34"/>
      <c r="IU34" s="1112"/>
      <c r="IV34" s="701"/>
      <c r="IW34" s="699" t="str">
        <f t="shared" si="68"/>
        <v/>
      </c>
      <c r="IX34" s="700"/>
      <c r="IZ34" s="1112"/>
      <c r="JA34" s="701">
        <v>18</v>
      </c>
      <c r="JB34" s="699" t="str">
        <f t="shared" si="69"/>
        <v>Max Niedermaier</v>
      </c>
      <c r="JC34" s="700" t="s">
        <v>334</v>
      </c>
      <c r="JE34" s="705"/>
      <c r="JF34" s="705"/>
      <c r="JG34" s="705"/>
      <c r="JH34" s="705"/>
      <c r="JI34" s="705"/>
      <c r="JJ34" s="1335"/>
      <c r="JK34" s="876">
        <v>58</v>
      </c>
      <c r="JL34" s="879" t="str">
        <f t="shared" si="108"/>
        <v/>
      </c>
      <c r="JM34" s="655" t="str">
        <f t="shared" si="71"/>
        <v/>
      </c>
      <c r="JN34" s="869" t="str">
        <f>IF($N$32="","",IF(AND($D$34=JL$11,$F$34&lt;&gt;""),$F$34,IF(AND($D$34=JL$11,$L$34&lt;&gt;""),$L$34,IF($D$34=JL$11,$M$34,""))))</f>
        <v/>
      </c>
      <c r="JO34" s="879" t="str">
        <f t="shared" si="109"/>
        <v/>
      </c>
      <c r="JP34" s="655" t="str">
        <f t="shared" si="72"/>
        <v/>
      </c>
      <c r="JQ34" s="869" t="str">
        <f>IF($N$32="","",IF(AND($D$34=JO$11,$F$34&lt;&gt;""),$F$34,IF(AND($D$34=JO$11,$L$34&lt;&gt;""),$L$34,IF($D$34=JO$11,$M$34,""))))</f>
        <v/>
      </c>
      <c r="JR34" s="879" t="str">
        <f t="shared" si="73"/>
        <v/>
      </c>
      <c r="JS34" s="655" t="str">
        <f t="shared" si="74"/>
        <v/>
      </c>
      <c r="JT34" s="869" t="str">
        <f>IF($N$32="","",IF(AND($D$34=JR$11,$F$34&lt;&gt;""),$F$34,IF(AND($D$34=JR$11,$L$34&lt;&gt;""),$L$34,IF($D$34=JR$11,$M$34,""))))</f>
        <v/>
      </c>
      <c r="JU34" s="879" t="str">
        <f t="shared" si="75"/>
        <v/>
      </c>
      <c r="JV34" s="655" t="str">
        <f t="shared" si="76"/>
        <v/>
      </c>
      <c r="JW34" s="869" t="str">
        <f>IF($N$32="","",IF(AND($D$34=JU$11,$F$34&lt;&gt;""),$F$34,IF(AND($D$34=JU$11,$L$34&lt;&gt;""),$L$34,IF($D$34=JU$11,$M$34,""))))</f>
        <v/>
      </c>
      <c r="JX34" s="879" t="str">
        <f t="shared" si="77"/>
        <v/>
      </c>
      <c r="JY34" s="655" t="str">
        <f t="shared" si="78"/>
        <v/>
      </c>
      <c r="JZ34" s="869" t="str">
        <f>IF($N$32="","",IF(AND($D$34=JX$11,$F$34&lt;&gt;""),$F$34,IF(AND($D$34=JX$11,$L$34&lt;&gt;""),$L$34,IF($D$34=JX$11,$M$34,""))))</f>
        <v/>
      </c>
      <c r="KA34" s="879" t="str">
        <f t="shared" si="79"/>
        <v/>
      </c>
      <c r="KB34" s="655" t="str">
        <f t="shared" si="80"/>
        <v/>
      </c>
      <c r="KC34" s="869" t="str">
        <f>IF($N$32="","",IF(AND($D$34=KA$11,$F$34&lt;&gt;""),$F$34,IF(AND($D$34=KA$11,$L$34&lt;&gt;""),$L$34,IF($D$34=KA$11,$M$34,""))))</f>
        <v/>
      </c>
      <c r="KD34" s="879" t="str">
        <f t="shared" si="81"/>
        <v/>
      </c>
      <c r="KE34" s="655" t="str">
        <f t="shared" si="82"/>
        <v/>
      </c>
      <c r="KF34" s="869" t="str">
        <f>IF($N$32="","",IF(AND($D$34=KD$11,$F$34&lt;&gt;""),$F$34,IF(AND($D$34=KD$11,$L$34&lt;&gt;""),$L$34,IF($D$34=KD$11,$M$34,""))))</f>
        <v/>
      </c>
      <c r="KG34" s="879" t="str">
        <f t="shared" si="83"/>
        <v/>
      </c>
      <c r="KH34" s="655" t="str">
        <f t="shared" si="84"/>
        <v/>
      </c>
      <c r="KI34" s="869" t="str">
        <f>IF($N$32="","",IF(AND($D$34=KG$11,$F$34&lt;&gt;""),$F$34,IF(AND($D$34=KG$11,$L$34&lt;&gt;""),$L$34,IF($D$34=KG$11,$M$34,""))))</f>
        <v/>
      </c>
      <c r="KJ34" s="879" t="str">
        <f t="shared" si="85"/>
        <v/>
      </c>
      <c r="KK34" s="655" t="str">
        <f t="shared" si="86"/>
        <v/>
      </c>
      <c r="KL34" s="869" t="str">
        <f>IF($N$32="","",IF(AND($D$34=KJ$11,$F$34&lt;&gt;""),$F$34,IF(AND($D$34=KJ$11,$L$34&lt;&gt;""),$L$34,IF($D$34=KJ$11,$M$34,""))))</f>
        <v/>
      </c>
      <c r="KM34" s="879" t="str">
        <f t="shared" si="87"/>
        <v/>
      </c>
      <c r="KN34" s="655" t="str">
        <f t="shared" si="88"/>
        <v/>
      </c>
      <c r="KO34" s="869" t="str">
        <f>IF($N$32="","",IF(AND($D$34=KM$11,$F$34&lt;&gt;""),$F$34,IF(AND($D$34=KM$11,$L$34&lt;&gt;""),$L$34,IF($D$34=KM$11,$M$34,""))))</f>
        <v/>
      </c>
      <c r="KP34" s="879" t="str">
        <f t="shared" si="89"/>
        <v/>
      </c>
      <c r="KQ34" s="655" t="str">
        <f t="shared" si="90"/>
        <v/>
      </c>
      <c r="KR34" s="869" t="str">
        <f>IF($N$32="","",IF(AND($D$34=KP$11,$F$34&lt;&gt;""),$F$34,IF(AND($D$34=KP$11,$L$34&lt;&gt;""),$L$34,IF($D$34=KP$11,$M$34,""))))</f>
        <v/>
      </c>
      <c r="KS34" s="879" t="str">
        <f t="shared" si="91"/>
        <v/>
      </c>
      <c r="KT34" s="655" t="str">
        <f t="shared" si="92"/>
        <v/>
      </c>
      <c r="KU34" s="869" t="str">
        <f>IF($N$32="","",IF(AND($D$34=KS$11,$F$34&lt;&gt;""),$F$34,IF(AND($D$34=KS$11,$L$34&lt;&gt;""),$L$34,IF($D$34=KS$11,$M$34,""))))</f>
        <v/>
      </c>
      <c r="KV34" s="879" t="str">
        <f t="shared" si="93"/>
        <v/>
      </c>
      <c r="KW34" s="655" t="str">
        <f t="shared" si="94"/>
        <v/>
      </c>
      <c r="KX34" s="869" t="str">
        <f>IF($N$32="","",IF(AND($D$34=KV$11,$F$34&lt;&gt;""),$F$34,IF(AND($D$34=KV$11,$L$34&lt;&gt;""),$L$34,IF($D$34=KV$11,$M$34,""))))</f>
        <v/>
      </c>
      <c r="KY34" s="879" t="str">
        <f t="shared" si="95"/>
        <v/>
      </c>
      <c r="KZ34" s="655" t="str">
        <f t="shared" si="96"/>
        <v/>
      </c>
      <c r="LA34" s="869" t="str">
        <f>IF($N$32="","",IF(AND($D$34=KY$11,$F$34&lt;&gt;""),$F$34,IF(AND($D$34=KY$11,$L$34&lt;&gt;""),$L$34,IF($D$34=KY$11,$M$34,""))))</f>
        <v/>
      </c>
      <c r="LB34" s="879" t="str">
        <f t="shared" si="97"/>
        <v/>
      </c>
      <c r="LC34" s="655" t="str">
        <f t="shared" si="98"/>
        <v/>
      </c>
      <c r="LD34" s="869" t="str">
        <f>IF($N$32="","",IF(AND($D$34=LB$11,$F$34&lt;&gt;""),$F$34,IF(AND($D$34=LB$11,$L$34&lt;&gt;""),$L$34,IF($D$34=LB$11,$M$34,""))))</f>
        <v/>
      </c>
      <c r="LE34" s="879" t="str">
        <f t="shared" si="99"/>
        <v/>
      </c>
      <c r="LF34" s="655" t="str">
        <f t="shared" si="100"/>
        <v/>
      </c>
      <c r="LG34" s="869" t="str">
        <f>IF($N$32="","",IF(AND($D$34=LE$11,$F$34&lt;&gt;""),$F$34,IF(AND($D$34=LE$11,$L$34&lt;&gt;""),$L$34,IF($D$34=LE$11,$M$34,""))))</f>
        <v/>
      </c>
      <c r="LH34"/>
      <c r="LI34"/>
      <c r="LJ34"/>
      <c r="LK34"/>
      <c r="LL34"/>
      <c r="LM34"/>
    </row>
    <row r="35" spans="1:325" ht="12.75" customHeight="1" thickBot="1">
      <c r="A35" s="918"/>
      <c r="B35" s="330">
        <v>16</v>
      </c>
      <c r="C35" s="107">
        <f t="shared" si="101"/>
        <v>5</v>
      </c>
      <c r="D35" s="518" t="str">
        <f t="shared" si="102"/>
        <v>Stefan Svensson</v>
      </c>
      <c r="E35" s="1012"/>
      <c r="F35" s="1016" t="str">
        <f t="shared" si="47"/>
        <v/>
      </c>
      <c r="G35" s="546"/>
      <c r="H35" s="1197" t="str">
        <f t="shared" si="48"/>
        <v/>
      </c>
      <c r="I35" s="1197"/>
      <c r="J35" s="1197"/>
      <c r="K35" s="1197"/>
      <c r="L35" s="509"/>
      <c r="M35" s="149" t="str">
        <f>IF(N32="","",IF(N32="y",3,IF(N33="y",2,IF(N34="y",1,IF(N35="y",0,0)))))</f>
        <v/>
      </c>
      <c r="N35" s="708"/>
      <c r="O35" s="268"/>
      <c r="P35" s="918"/>
      <c r="Q35" s="330">
        <v>15</v>
      </c>
      <c r="R35" s="107">
        <f t="shared" si="49"/>
        <v>2</v>
      </c>
      <c r="S35" s="518" t="str">
        <f t="shared" si="50"/>
        <v>Dimitry Koltakov</v>
      </c>
      <c r="T35" s="1012"/>
      <c r="U35" s="1016" t="str">
        <f t="shared" si="172"/>
        <v/>
      </c>
      <c r="V35" s="546"/>
      <c r="W35" s="1197" t="str">
        <f t="shared" si="52"/>
        <v/>
      </c>
      <c r="X35" s="1197"/>
      <c r="Y35" s="1197"/>
      <c r="Z35" s="1197"/>
      <c r="AA35" s="509"/>
      <c r="AB35" s="149" t="str">
        <f>IF(AC32="","",IF(AC32="y",3,IF(AC33="y",2,IF(AC34="y",1,IF(AC35="y",0,0)))))</f>
        <v/>
      </c>
      <c r="AC35" s="725"/>
      <c r="AD35" s="269"/>
      <c r="AE35" s="918"/>
      <c r="AF35" s="103"/>
      <c r="AG35" s="103" t="str">
        <f t="shared" si="173"/>
        <v/>
      </c>
      <c r="AH35" s="520" t="str">
        <f>IF(AW32="Y",AV32,IF(AW33="Y",AV33,IF(AW34="Y",AV34,IF(AW35="Y",AV35,""))))</f>
        <v/>
      </c>
      <c r="AI35" s="523"/>
      <c r="AJ35" s="523"/>
      <c r="AK35" s="532"/>
      <c r="AL35" s="1213"/>
      <c r="AM35" s="1213"/>
      <c r="AN35" s="1213"/>
      <c r="AO35" s="1213"/>
      <c r="AP35" s="509"/>
      <c r="AQ35" s="149" t="str">
        <f>IF(AR32="","",IF(AR32="y",3,IF(AR33="y",2,IF(AR34="y",1,IF(AR35="y",0,0)))))</f>
        <v/>
      </c>
      <c r="AR35" s="725"/>
      <c r="AS35" s="269"/>
      <c r="AT35" s="290"/>
      <c r="AU35" s="290"/>
      <c r="AV35" s="455" t="str">
        <f>IF(AQ$27="","",IF(AY35&lt;&gt;"",AZ35,AV18))</f>
        <v/>
      </c>
      <c r="AW35" s="725"/>
      <c r="AX35" s="268"/>
      <c r="AY35" s="927"/>
      <c r="AZ35" s="1093" t="str">
        <f t="shared" si="177"/>
        <v/>
      </c>
      <c r="BA35" s="1094"/>
      <c r="BB35" s="1094"/>
      <c r="BC35" s="1094"/>
      <c r="BD35" s="1095"/>
      <c r="BO35" s="8" t="str">
        <f>$M35</f>
        <v/>
      </c>
      <c r="BT35" s="8" t="str">
        <f>$AB35</f>
        <v/>
      </c>
      <c r="BY35" s="8" t="str">
        <f>$AQ35</f>
        <v/>
      </c>
      <c r="CA35" s="762"/>
      <c r="CB35" s="13">
        <v>4</v>
      </c>
      <c r="CG35" s="13">
        <v>9</v>
      </c>
      <c r="CH35" s="13" t="str">
        <f t="shared" si="146"/>
        <v>Per-Anders Lindstrom</v>
      </c>
      <c r="CI35" s="770">
        <f t="shared" si="111"/>
        <v>0</v>
      </c>
      <c r="CU35" s="13">
        <f t="shared" si="147"/>
        <v>1</v>
      </c>
      <c r="CV35" s="13">
        <f t="shared" si="112"/>
        <v>1</v>
      </c>
      <c r="CW35" s="13" t="str">
        <f t="shared" si="112"/>
        <v>Daniil Ivanov</v>
      </c>
      <c r="CX35" s="13" t="str">
        <f t="shared" si="112"/>
        <v/>
      </c>
      <c r="CY35" s="13" t="str">
        <f t="shared" si="112"/>
        <v/>
      </c>
      <c r="CZ35" s="13" t="str">
        <f t="shared" si="112"/>
        <v/>
      </c>
      <c r="DA35" s="13" t="str">
        <f t="shared" si="112"/>
        <v/>
      </c>
      <c r="DC35" s="13">
        <f t="shared" si="148"/>
        <v>0</v>
      </c>
      <c r="DD35" s="243">
        <f t="shared" si="113"/>
        <v>0</v>
      </c>
      <c r="DE35" s="236">
        <f t="shared" si="149"/>
        <v>0</v>
      </c>
      <c r="DF35" s="232">
        <f t="shared" si="114"/>
        <v>0</v>
      </c>
      <c r="DG35" s="234">
        <f t="shared" si="150"/>
        <v>0</v>
      </c>
      <c r="DH35" s="232">
        <f t="shared" si="115"/>
        <v>0</v>
      </c>
      <c r="DI35" s="41">
        <f t="shared" si="151"/>
        <v>0</v>
      </c>
      <c r="DJ35" s="271">
        <f t="shared" si="116"/>
        <v>0</v>
      </c>
      <c r="DK35" s="273">
        <f t="shared" si="117"/>
        <v>0</v>
      </c>
      <c r="DL35" s="281">
        <f t="shared" si="118"/>
        <v>0</v>
      </c>
      <c r="DM35" s="239">
        <f t="shared" si="119"/>
        <v>5.8999999999999996E-7</v>
      </c>
      <c r="DN35" s="285">
        <f t="shared" si="120"/>
        <v>0</v>
      </c>
      <c r="DO35" s="285">
        <f t="shared" si="121"/>
        <v>0</v>
      </c>
      <c r="DP35" s="285">
        <f t="shared" si="122"/>
        <v>5.8999999999999996E-7</v>
      </c>
      <c r="DQ35" s="597"/>
      <c r="DR35" s="205">
        <f t="shared" si="152"/>
        <v>1</v>
      </c>
      <c r="DS35" s="4">
        <f t="shared" si="166"/>
        <v>1</v>
      </c>
      <c r="DT35" s="4">
        <f t="shared" si="168"/>
        <v>1</v>
      </c>
      <c r="DU35" s="4">
        <f t="shared" si="170"/>
        <v>1</v>
      </c>
      <c r="DV35" s="4">
        <f t="shared" si="174"/>
        <v>1</v>
      </c>
      <c r="DW35" s="4">
        <f t="shared" si="178"/>
        <v>1</v>
      </c>
      <c r="DX35" s="4">
        <f t="shared" si="180"/>
        <v>1</v>
      </c>
      <c r="DY35" s="4">
        <f t="shared" ref="DY35:DY42" si="183">IF($FO35=$FO$34,$CV11,"")</f>
        <v>1</v>
      </c>
      <c r="DZ35" s="208"/>
      <c r="EA35" s="4">
        <f t="shared" si="126"/>
        <v>1</v>
      </c>
      <c r="EB35" s="4">
        <f t="shared" si="127"/>
        <v>1</v>
      </c>
      <c r="EC35" s="4">
        <f t="shared" si="128"/>
        <v>1</v>
      </c>
      <c r="ED35" s="4">
        <f t="shared" si="129"/>
        <v>1</v>
      </c>
      <c r="EE35" s="4">
        <f t="shared" si="130"/>
        <v>1</v>
      </c>
      <c r="EF35" s="4">
        <f t="shared" si="131"/>
        <v>1</v>
      </c>
      <c r="EG35" s="225">
        <f t="shared" si="132"/>
        <v>1</v>
      </c>
      <c r="EH35" s="215">
        <f>$AG$2</f>
        <v>1</v>
      </c>
      <c r="EI35" s="205" t="b">
        <f>IF(DR$35="","",FT$11)</f>
        <v>0</v>
      </c>
      <c r="EJ35" s="4" t="b">
        <f t="shared" ref="EJ35:EX35" si="184">IF(DS$35="","",FU$11)</f>
        <v>0</v>
      </c>
      <c r="EK35" s="4" t="b">
        <f t="shared" si="184"/>
        <v>0</v>
      </c>
      <c r="EL35" s="4" t="b">
        <f t="shared" si="184"/>
        <v>0</v>
      </c>
      <c r="EM35" s="4" t="b">
        <f t="shared" si="184"/>
        <v>0</v>
      </c>
      <c r="EN35" s="4" t="b">
        <f t="shared" si="184"/>
        <v>0</v>
      </c>
      <c r="EO35" s="4" t="b">
        <f t="shared" si="184"/>
        <v>0</v>
      </c>
      <c r="EP35" s="4" t="b">
        <f t="shared" si="184"/>
        <v>0</v>
      </c>
      <c r="EQ35" s="208"/>
      <c r="ER35" s="4" t="b">
        <f t="shared" si="184"/>
        <v>0</v>
      </c>
      <c r="ES35" s="4" t="b">
        <f t="shared" si="184"/>
        <v>0</v>
      </c>
      <c r="ET35" s="4" t="b">
        <f t="shared" si="184"/>
        <v>0</v>
      </c>
      <c r="EU35" s="4" t="b">
        <f t="shared" si="184"/>
        <v>0</v>
      </c>
      <c r="EV35" s="4" t="b">
        <f t="shared" si="184"/>
        <v>0</v>
      </c>
      <c r="EW35" s="4" t="b">
        <f t="shared" si="184"/>
        <v>0</v>
      </c>
      <c r="EX35" s="225" t="b">
        <f t="shared" si="184"/>
        <v>0</v>
      </c>
      <c r="EY35" s="230">
        <f t="shared" si="154"/>
        <v>0</v>
      </c>
      <c r="EZ35" s="13">
        <f t="shared" si="134"/>
        <v>1</v>
      </c>
      <c r="FA35" s="673">
        <f t="shared" si="135"/>
        <v>1</v>
      </c>
      <c r="FB35" s="654" t="str">
        <f t="shared" si="135"/>
        <v>Daniil Ivanov</v>
      </c>
      <c r="FC35" s="655">
        <f t="shared" si="155"/>
        <v>0</v>
      </c>
      <c r="FD35" s="655">
        <f t="shared" si="156"/>
        <v>0</v>
      </c>
      <c r="FE35" s="655">
        <f t="shared" si="157"/>
        <v>0</v>
      </c>
      <c r="FF35" s="655">
        <f t="shared" si="158"/>
        <v>0</v>
      </c>
      <c r="FG35" s="658">
        <f t="shared" si="136"/>
        <v>0</v>
      </c>
      <c r="FH35" s="656">
        <f t="shared" si="159"/>
        <v>0</v>
      </c>
      <c r="FI35" s="660">
        <f t="shared" si="160"/>
        <v>0</v>
      </c>
      <c r="FJ35" s="663">
        <f t="shared" si="161"/>
        <v>0</v>
      </c>
      <c r="FK35" s="762">
        <f t="shared" si="162"/>
        <v>0</v>
      </c>
      <c r="FL35" s="762">
        <f t="shared" si="163"/>
        <v>0</v>
      </c>
      <c r="FM35" s="762">
        <f t="shared" si="137"/>
        <v>0</v>
      </c>
      <c r="FN35" s="665">
        <f t="shared" si="164"/>
        <v>0</v>
      </c>
      <c r="FO35" s="665">
        <f t="shared" si="182"/>
        <v>0</v>
      </c>
      <c r="FP35" s="762">
        <f t="shared" si="139"/>
        <v>0</v>
      </c>
      <c r="FQ35" s="316">
        <f t="shared" si="140"/>
        <v>0</v>
      </c>
      <c r="FR35" s="13">
        <f t="shared" si="141"/>
        <v>18</v>
      </c>
      <c r="FS35" s="290">
        <f t="shared" si="165"/>
        <v>0</v>
      </c>
      <c r="FT35" s="1192">
        <f>IF(FF35=2,SUM((FG35*10)+20),IF(FR35&gt;0,SUM(FO35+SUM(FS35/10000)+SUM(EY35/1000000))))</f>
        <v>0</v>
      </c>
      <c r="FU35" s="1192"/>
      <c r="FV35" s="1192"/>
      <c r="FW35" s="1192"/>
      <c r="FX35" s="737">
        <f t="shared" si="143"/>
        <v>5.8999999999999996E-7</v>
      </c>
      <c r="FY35" s="1114">
        <f t="shared" si="176"/>
        <v>5.8999999999999996E-7</v>
      </c>
      <c r="FZ35" s="1114"/>
      <c r="GA35" s="1114"/>
      <c r="GB35" s="1114"/>
      <c r="GC35" s="1114"/>
      <c r="GD35"/>
      <c r="GE35"/>
      <c r="GF35"/>
      <c r="GG35"/>
      <c r="GH35" s="290"/>
      <c r="GJ35" s="290"/>
      <c r="GK35" s="627" t="str">
        <f>AG39</f>
        <v/>
      </c>
      <c r="GL35" s="639" t="str">
        <f>IF(AQ39&gt;AQ36,GK35,IF(AQ39&lt;AQ36,GL31,""))</f>
        <v/>
      </c>
      <c r="GM35" s="640" t="str">
        <f>IF(AQ39&gt;AQ37,GK35,IF(AQ39&lt;AQ37,GM31,""))</f>
        <v/>
      </c>
      <c r="GN35" s="640" t="str">
        <f>IF(AQ39&gt;AQ38,GK35,IF(AQ39&lt;AQ38,GN31,""))</f>
        <v/>
      </c>
      <c r="GO35" s="630" t="s">
        <v>197</v>
      </c>
      <c r="GP35" s="684">
        <f>COUNTIF(GL35:GO35,GK35)</f>
        <v>3</v>
      </c>
      <c r="GW35" s="1145"/>
      <c r="GX35" s="231" t="str">
        <f>IF($N$32="","",IF($IW$35=$GX$3,$IX$35,IF(AND($H$35=$GX$3,$L$35&lt;&gt;""),$L$35,IF(AND($H$35=$GX$3,$L$35=""),$M$35,""))))</f>
        <v/>
      </c>
      <c r="GY35" s="302">
        <v>57</v>
      </c>
      <c r="GZ35" s="303" t="str">
        <f t="shared" si="105"/>
        <v/>
      </c>
      <c r="HA35" s="98" t="str">
        <f t="shared" si="62"/>
        <v/>
      </c>
      <c r="HB35" s="303"/>
      <c r="HC35" s="98" t="str">
        <f t="shared" si="106"/>
        <v/>
      </c>
      <c r="HG35" s="1145"/>
      <c r="HH35" s="231" t="str">
        <f>IF($N$32="","",IF($IW$35=$HH$3,$IX$35,IF(AND($H$35=$HH$3,$L$35&lt;&gt;""),$L$35,IF(AND($H$35=$HH$3,$L$35=""),$M$35,""))))</f>
        <v/>
      </c>
      <c r="HI35" s="302">
        <v>57</v>
      </c>
      <c r="HJ35" s="303" t="str">
        <f t="shared" si="107"/>
        <v/>
      </c>
      <c r="HK35" s="98" t="str">
        <f t="shared" si="63"/>
        <v/>
      </c>
      <c r="HL35" s="303"/>
      <c r="HM35" s="98" t="str">
        <f t="shared" si="64"/>
        <v/>
      </c>
      <c r="HN35" s="1150">
        <v>5</v>
      </c>
      <c r="HO35" s="131" t="str">
        <f>IF($H31="",$D31,$H31)</f>
        <v>Stefan Pletschacher</v>
      </c>
      <c r="HP35" s="884" t="str">
        <f>M31</f>
        <v/>
      </c>
      <c r="HQ35" s="327" t="str">
        <f>IF($L31="","",$L31)</f>
        <v/>
      </c>
      <c r="HR35" s="327">
        <v>0.01</v>
      </c>
      <c r="HS35" s="458" t="str">
        <f t="shared" si="144"/>
        <v/>
      </c>
      <c r="HT35" s="327" t="e">
        <f>RANK(HS35,HS32:HS35)+COUNTIF(HS32:HS35,HS35)-1</f>
        <v>#VALUE!</v>
      </c>
      <c r="HU35" s="327" t="str">
        <f>IF(HQ35="",HO35,HO35&amp;" ("&amp;HQ35&amp;")")</f>
        <v>Stefan Pletschacher</v>
      </c>
      <c r="HV35" s="328">
        <v>4</v>
      </c>
      <c r="HW35" s="337" t="str">
        <f>IF(N28="","",VLOOKUP(HV35,HT32:HU35,2,FALSE))</f>
        <v/>
      </c>
      <c r="HX35" s="1150">
        <v>13</v>
      </c>
      <c r="HY35" s="131" t="str">
        <f>IF($W31="",$S31,$W31)</f>
        <v>Vitaly Khomitsevich</v>
      </c>
      <c r="HZ35" s="327" t="str">
        <f>AB31</f>
        <v/>
      </c>
      <c r="IA35" s="327" t="str">
        <f>IF($AA31="","",$AA31)</f>
        <v/>
      </c>
      <c r="IB35" s="327">
        <v>0.01</v>
      </c>
      <c r="IC35" s="458" t="str">
        <f t="shared" si="145"/>
        <v/>
      </c>
      <c r="ID35" s="327" t="e">
        <f>RANK(IC35,IC32:IC35)+COUNTIF(IC32:IC35,IC35)-1</f>
        <v>#VALUE!</v>
      </c>
      <c r="IE35" s="327" t="str">
        <f>IF(IA35="",HY35,HY35&amp;" ("&amp;IA35&amp;")")</f>
        <v>Vitaly Khomitsevich</v>
      </c>
      <c r="IF35" s="344">
        <v>4</v>
      </c>
      <c r="IG35" s="337" t="str">
        <f>IF(AC28="","",VLOOKUP(IF35,ID32:IE35,2,FALSE))</f>
        <v/>
      </c>
      <c r="IH35"/>
      <c r="II35"/>
      <c r="IJ35"/>
      <c r="IK35"/>
      <c r="IL35"/>
      <c r="IM35"/>
      <c r="IN35"/>
      <c r="IO35"/>
      <c r="IP35"/>
      <c r="IQ35"/>
      <c r="IR35"/>
      <c r="IU35" s="1113"/>
      <c r="IV35" s="702"/>
      <c r="IW35" s="703" t="str">
        <f t="shared" si="68"/>
        <v/>
      </c>
      <c r="IX35" s="704"/>
      <c r="IZ35" s="1113"/>
      <c r="JA35" s="702"/>
      <c r="JB35" s="703" t="str">
        <f t="shared" si="69"/>
        <v/>
      </c>
      <c r="JC35" s="704"/>
      <c r="JE35" s="705"/>
      <c r="JF35" s="705"/>
      <c r="JG35" s="705"/>
      <c r="JH35" s="705"/>
      <c r="JI35" s="705"/>
      <c r="JJ35" s="1336"/>
      <c r="JK35" s="877">
        <v>57</v>
      </c>
      <c r="JL35" s="880" t="str">
        <f t="shared" si="108"/>
        <v/>
      </c>
      <c r="JM35" s="874" t="str">
        <f t="shared" si="71"/>
        <v/>
      </c>
      <c r="JN35" s="870" t="str">
        <f>IF($N$32="","",IF(AND($D$35=JL$11,$F$35&lt;&gt;""),$F$35,IF(AND($D$35=JL$11,$L$35&lt;&gt;""),$L$35,IF($D$35=JL$11,$M$35,""))))</f>
        <v/>
      </c>
      <c r="JO35" s="880" t="str">
        <f t="shared" si="109"/>
        <v/>
      </c>
      <c r="JP35" s="874" t="str">
        <f t="shared" si="72"/>
        <v/>
      </c>
      <c r="JQ35" s="870" t="str">
        <f>IF($N$32="","",IF(AND($D$35=JO$11,$F$35&lt;&gt;""),$F$35,IF(AND($D$35=JO$11,$L$35&lt;&gt;""),$L$35,IF($D$35=JO$11,$M$35,""))))</f>
        <v/>
      </c>
      <c r="JR35" s="880" t="str">
        <f t="shared" si="73"/>
        <v/>
      </c>
      <c r="JS35" s="874" t="str">
        <f t="shared" si="74"/>
        <v/>
      </c>
      <c r="JT35" s="870" t="str">
        <f>IF($N$32="","",IF(AND($D$35=JR$11,$F$35&lt;&gt;""),$F$35,IF(AND($D$35=JR$11,$L$35&lt;&gt;""),$L$35,IF($D$35=JR$11,$M$35,""))))</f>
        <v/>
      </c>
      <c r="JU35" s="880" t="str">
        <f t="shared" si="75"/>
        <v/>
      </c>
      <c r="JV35" s="874" t="str">
        <f t="shared" si="76"/>
        <v/>
      </c>
      <c r="JW35" s="870" t="str">
        <f>IF($N$32="","",IF(AND($D$35=JU$11,$F$35&lt;&gt;""),$F$35,IF(AND($D$35=JU$11,$L$35&lt;&gt;""),$L$35,IF($D$35=JU$11,$M$35,""))))</f>
        <v/>
      </c>
      <c r="JX35" s="880" t="str">
        <f t="shared" si="77"/>
        <v/>
      </c>
      <c r="JY35" s="874" t="str">
        <f t="shared" si="78"/>
        <v/>
      </c>
      <c r="JZ35" s="870" t="str">
        <f>IF($N$32="","",IF(AND($D$35=JX$11,$F$35&lt;&gt;""),$F$35,IF(AND($D$35=JX$11,$L$35&lt;&gt;""),$L$35,IF($D$35=JX$11,$M$35,""))))</f>
        <v/>
      </c>
      <c r="KA35" s="880" t="str">
        <f t="shared" si="79"/>
        <v/>
      </c>
      <c r="KB35" s="874" t="str">
        <f t="shared" si="80"/>
        <v/>
      </c>
      <c r="KC35" s="870" t="str">
        <f>IF($N$32="","",IF(AND($D$35=KA$11,$F$35&lt;&gt;""),$F$35,IF(AND($D$35=KA$11,$L$35&lt;&gt;""),$L$35,IF($D$35=KA$11,$M$35,""))))</f>
        <v/>
      </c>
      <c r="KD35" s="880" t="str">
        <f t="shared" si="81"/>
        <v/>
      </c>
      <c r="KE35" s="874" t="str">
        <f t="shared" si="82"/>
        <v/>
      </c>
      <c r="KF35" s="870" t="str">
        <f>IF($N$32="","",IF(AND($D$35=KD$11,$F$35&lt;&gt;""),$F$35,IF(AND($D$35=KD$11,$L$35&lt;&gt;""),$L$35,IF($D$35=KD$11,$M$35,""))))</f>
        <v/>
      </c>
      <c r="KG35" s="880" t="str">
        <f t="shared" si="83"/>
        <v/>
      </c>
      <c r="KH35" s="874" t="str">
        <f t="shared" si="84"/>
        <v/>
      </c>
      <c r="KI35" s="870" t="str">
        <f>IF($N$32="","",IF(AND($D$35=KG$11,$F$35&lt;&gt;""),$F$35,IF(AND($D$35=KG$11,$L$35&lt;&gt;""),$L$35,IF($D$35=KG$11,$M$35,""))))</f>
        <v/>
      </c>
      <c r="KJ35" s="880" t="str">
        <f t="shared" si="85"/>
        <v/>
      </c>
      <c r="KK35" s="874" t="str">
        <f t="shared" si="86"/>
        <v/>
      </c>
      <c r="KL35" s="870" t="str">
        <f>IF($N$32="","",IF(AND($D$35=KJ$11,$F$35&lt;&gt;""),$F$35,IF(AND($D$35=KJ$11,$L$35&lt;&gt;""),$L$35,IF($D$35=KJ$11,$M$35,""))))</f>
        <v/>
      </c>
      <c r="KM35" s="880" t="str">
        <f t="shared" si="87"/>
        <v/>
      </c>
      <c r="KN35" s="874" t="str">
        <f t="shared" si="88"/>
        <v/>
      </c>
      <c r="KO35" s="870" t="str">
        <f>IF($N$32="","",IF(AND($D$35=KM$11,$F$35&lt;&gt;""),$F$35,IF(AND($D$35=KM$11,$L$35&lt;&gt;""),$L$35,IF($D$35=KM$11,$M$35,""))))</f>
        <v/>
      </c>
      <c r="KP35" s="880" t="str">
        <f t="shared" si="89"/>
        <v/>
      </c>
      <c r="KQ35" s="874" t="str">
        <f t="shared" si="90"/>
        <v/>
      </c>
      <c r="KR35" s="870" t="str">
        <f>IF($N$32="","",IF(AND($D$35=KP$11,$F$35&lt;&gt;""),$F$35,IF(AND($D$35=KP$11,$L$35&lt;&gt;""),$L$35,IF($D$35=KP$11,$M$35,""))))</f>
        <v/>
      </c>
      <c r="KS35" s="880" t="str">
        <f t="shared" si="91"/>
        <v/>
      </c>
      <c r="KT35" s="874" t="str">
        <f t="shared" si="92"/>
        <v/>
      </c>
      <c r="KU35" s="870" t="str">
        <f>IF($N$32="","",IF(AND($D$35=KS$11,$F$35&lt;&gt;""),$F$35,IF(AND($D$35=KS$11,$L$35&lt;&gt;""),$L$35,IF($D$35=KS$11,$M$35,""))))</f>
        <v/>
      </c>
      <c r="KV35" s="880" t="str">
        <f t="shared" si="93"/>
        <v/>
      </c>
      <c r="KW35" s="874" t="str">
        <f t="shared" si="94"/>
        <v/>
      </c>
      <c r="KX35" s="870" t="str">
        <f>IF($N$32="","",IF(AND($D$35=KV$11,$F$35&lt;&gt;""),$F$35,IF(AND($D$35=KV$11,$L$35&lt;&gt;""),$L$35,IF($D$35=KV$11,$M$35,""))))</f>
        <v/>
      </c>
      <c r="KY35" s="880" t="str">
        <f t="shared" si="95"/>
        <v/>
      </c>
      <c r="KZ35" s="874" t="str">
        <f t="shared" si="96"/>
        <v/>
      </c>
      <c r="LA35" s="870" t="str">
        <f>IF($N$32="","",IF(AND($D$35=KY$11,$F$35&lt;&gt;""),$F$35,IF(AND($D$35=KY$11,$L$35&lt;&gt;""),$L$35,IF($D$35=KY$11,$M$35,""))))</f>
        <v/>
      </c>
      <c r="LB35" s="880" t="str">
        <f t="shared" si="97"/>
        <v/>
      </c>
      <c r="LC35" s="874" t="str">
        <f t="shared" si="98"/>
        <v/>
      </c>
      <c r="LD35" s="870" t="str">
        <f>IF($N$32="","",IF(AND($D$35=LB$11,$F$35&lt;&gt;""),$F$35,IF(AND($D$35=LB$11,$L$35&lt;&gt;""),$L$35,IF($D$35=LB$11,$M$35,""))))</f>
        <v/>
      </c>
      <c r="LE35" s="880" t="str">
        <f t="shared" si="99"/>
        <v/>
      </c>
      <c r="LF35" s="874" t="str">
        <f t="shared" si="100"/>
        <v/>
      </c>
      <c r="LG35" s="870" t="str">
        <f>IF($N$32="","",IF(AND($D$35=LE$11,$F$35&lt;&gt;""),$F$35,IF(AND($D$35=LE$11,$L$35&lt;&gt;""),$L$35,IF($D$35=LE$11,$M$35,""))))</f>
        <v/>
      </c>
      <c r="LH35"/>
      <c r="LI35"/>
      <c r="LJ35"/>
      <c r="LK35"/>
      <c r="LL35"/>
      <c r="LM35"/>
    </row>
    <row r="36" spans="1:325" ht="12.75" customHeight="1" thickBot="1">
      <c r="A36" s="1211">
        <v>7</v>
      </c>
      <c r="B36" s="329">
        <v>1</v>
      </c>
      <c r="C36" s="106">
        <f t="shared" si="101"/>
        <v>9</v>
      </c>
      <c r="D36" s="516" t="str">
        <f t="shared" si="102"/>
        <v>Per-Anders Lindstrom</v>
      </c>
      <c r="E36" s="1010"/>
      <c r="F36" s="1014" t="str">
        <f t="shared" si="47"/>
        <v/>
      </c>
      <c r="G36" s="544"/>
      <c r="H36" s="1210" t="str">
        <f t="shared" si="48"/>
        <v/>
      </c>
      <c r="I36" s="1210"/>
      <c r="J36" s="1210"/>
      <c r="K36" s="1210"/>
      <c r="L36" s="510"/>
      <c r="M36" s="93" t="str">
        <f>IF(N36="","",IF(N36="R",3,IF(N37="R",2,IF(N38="R",1,IF(N39="R",0,0)))))</f>
        <v/>
      </c>
      <c r="N36" s="706"/>
      <c r="O36" s="268"/>
      <c r="P36" s="1211">
        <v>15</v>
      </c>
      <c r="Q36" s="329">
        <v>11</v>
      </c>
      <c r="R36" s="106">
        <f t="shared" si="49"/>
        <v>15</v>
      </c>
      <c r="S36" s="516" t="str">
        <f t="shared" si="50"/>
        <v>Harald Simon</v>
      </c>
      <c r="T36" s="1010"/>
      <c r="U36" s="1014" t="str">
        <f t="shared" si="172"/>
        <v/>
      </c>
      <c r="V36" s="544"/>
      <c r="W36" s="1210" t="str">
        <f t="shared" si="52"/>
        <v/>
      </c>
      <c r="X36" s="1210"/>
      <c r="Y36" s="1210"/>
      <c r="Z36" s="1210"/>
      <c r="AA36" s="510"/>
      <c r="AB36" s="93" t="str">
        <f>IF(AC36="","",IF(AC36="R",3,IF(AC37="R",2,IF(AC38="R",1,IF(AC39="R",0,0)))))</f>
        <v/>
      </c>
      <c r="AC36" s="723"/>
      <c r="AD36" s="269"/>
      <c r="AE36" s="1216" t="s">
        <v>62</v>
      </c>
      <c r="AF36" s="106"/>
      <c r="AG36" s="106" t="str">
        <f t="shared" si="173"/>
        <v/>
      </c>
      <c r="AH36" s="516" t="str">
        <f>IF(AW36="R",AV36,IF(AW37="R",AV37,IF(AW38="R",AV38,IF(AW39="R",AV39,""))))</f>
        <v/>
      </c>
      <c r="AI36" s="521"/>
      <c r="AJ36" s="521"/>
      <c r="AK36" s="530"/>
      <c r="AL36" s="1214"/>
      <c r="AM36" s="1214"/>
      <c r="AN36" s="1214"/>
      <c r="AO36" s="1214"/>
      <c r="AP36" s="510"/>
      <c r="AQ36" s="93" t="str">
        <f>IF(AR36="","",IF(AR36="R",3,IF(AR37="R",2,IF(AR38="R",1,IF(AR39="R",0,0)))))</f>
        <v/>
      </c>
      <c r="AR36" s="723"/>
      <c r="AS36" s="269"/>
      <c r="AT36" s="290"/>
      <c r="AU36" s="290"/>
      <c r="AV36" s="453" t="str">
        <f>IF(AQ$27="","",IF(AY36&lt;&gt;"",AZ36,AV13))</f>
        <v/>
      </c>
      <c r="AW36" s="723"/>
      <c r="AX36" s="268"/>
      <c r="AY36" s="925"/>
      <c r="AZ36" s="1087" t="str">
        <f t="shared" si="177"/>
        <v/>
      </c>
      <c r="BA36" s="1088"/>
      <c r="BB36" s="1088"/>
      <c r="BC36" s="1088"/>
      <c r="BD36" s="1089"/>
      <c r="BL36" s="8" t="str">
        <f>$M36</f>
        <v/>
      </c>
      <c r="BQ36" s="8" t="str">
        <f>$AB36</f>
        <v/>
      </c>
      <c r="BV36" s="8" t="str">
        <f>$AQ36</f>
        <v/>
      </c>
      <c r="BY36" s="8"/>
      <c r="CA36" s="762"/>
      <c r="CB36" s="13">
        <v>1</v>
      </c>
      <c r="CG36" s="13">
        <v>10</v>
      </c>
      <c r="CH36" s="13" t="str">
        <f t="shared" si="146"/>
        <v>Franz Zorn</v>
      </c>
      <c r="CI36" s="770">
        <f t="shared" si="111"/>
        <v>0</v>
      </c>
      <c r="CU36" s="13">
        <f t="shared" si="147"/>
        <v>12</v>
      </c>
      <c r="CV36" s="13">
        <f t="shared" si="112"/>
        <v>12</v>
      </c>
      <c r="CW36" s="13" t="str">
        <f t="shared" si="112"/>
        <v>Hans Weber</v>
      </c>
      <c r="CX36" s="13" t="str">
        <f t="shared" si="112"/>
        <v/>
      </c>
      <c r="CY36" s="13" t="str">
        <f t="shared" si="112"/>
        <v/>
      </c>
      <c r="CZ36" s="13" t="str">
        <f t="shared" si="112"/>
        <v/>
      </c>
      <c r="DA36" s="13" t="str">
        <f t="shared" si="112"/>
        <v/>
      </c>
      <c r="DC36" s="13">
        <f t="shared" si="148"/>
        <v>0</v>
      </c>
      <c r="DD36" s="243">
        <f t="shared" si="113"/>
        <v>0</v>
      </c>
      <c r="DE36" s="236">
        <f t="shared" si="149"/>
        <v>0</v>
      </c>
      <c r="DF36" s="232">
        <f t="shared" si="114"/>
        <v>0</v>
      </c>
      <c r="DG36" s="234">
        <f t="shared" si="150"/>
        <v>0</v>
      </c>
      <c r="DH36" s="232">
        <f t="shared" si="115"/>
        <v>0</v>
      </c>
      <c r="DI36" s="41">
        <f t="shared" si="151"/>
        <v>0</v>
      </c>
      <c r="DJ36" s="271">
        <f t="shared" si="116"/>
        <v>0</v>
      </c>
      <c r="DK36" s="273">
        <f t="shared" si="117"/>
        <v>0</v>
      </c>
      <c r="DL36" s="281">
        <f t="shared" si="118"/>
        <v>0</v>
      </c>
      <c r="DM36" s="238">
        <f t="shared" si="119"/>
        <v>4.7999999999999996E-7</v>
      </c>
      <c r="DN36" s="284">
        <f t="shared" si="120"/>
        <v>0</v>
      </c>
      <c r="DO36" s="284">
        <f t="shared" si="121"/>
        <v>0</v>
      </c>
      <c r="DP36" s="284">
        <f t="shared" si="122"/>
        <v>4.7999999999999996E-7</v>
      </c>
      <c r="DQ36" s="597"/>
      <c r="DR36" s="205">
        <f t="shared" si="152"/>
        <v>12</v>
      </c>
      <c r="DS36" s="4">
        <f t="shared" si="166"/>
        <v>12</v>
      </c>
      <c r="DT36" s="4">
        <f t="shared" si="168"/>
        <v>12</v>
      </c>
      <c r="DU36" s="4">
        <f t="shared" si="170"/>
        <v>12</v>
      </c>
      <c r="DV36" s="4">
        <f t="shared" si="174"/>
        <v>12</v>
      </c>
      <c r="DW36" s="4">
        <f t="shared" si="178"/>
        <v>12</v>
      </c>
      <c r="DX36" s="4">
        <f t="shared" si="180"/>
        <v>12</v>
      </c>
      <c r="DY36" s="4">
        <f t="shared" si="183"/>
        <v>12</v>
      </c>
      <c r="DZ36" s="4">
        <f t="shared" ref="DZ36:DZ42" si="185">IF($FO36=$FO$35,$CV12,"")</f>
        <v>12</v>
      </c>
      <c r="EA36" s="208"/>
      <c r="EB36" s="4">
        <f t="shared" si="127"/>
        <v>12</v>
      </c>
      <c r="EC36" s="4">
        <f t="shared" si="128"/>
        <v>12</v>
      </c>
      <c r="ED36" s="4">
        <f t="shared" si="129"/>
        <v>12</v>
      </c>
      <c r="EE36" s="4">
        <f t="shared" si="130"/>
        <v>12</v>
      </c>
      <c r="EF36" s="4">
        <f t="shared" si="131"/>
        <v>12</v>
      </c>
      <c r="EG36" s="225">
        <f t="shared" si="132"/>
        <v>12</v>
      </c>
      <c r="EH36" s="215">
        <f>$AG$3</f>
        <v>12</v>
      </c>
      <c r="EI36" s="205" t="b">
        <f>IF(DR$36="","",FT$12)</f>
        <v>0</v>
      </c>
      <c r="EJ36" s="4" t="b">
        <f t="shared" ref="EJ36:EX36" si="186">IF(DS$36="","",FU$12)</f>
        <v>0</v>
      </c>
      <c r="EK36" s="4" t="b">
        <f t="shared" si="186"/>
        <v>0</v>
      </c>
      <c r="EL36" s="4" t="b">
        <f t="shared" si="186"/>
        <v>0</v>
      </c>
      <c r="EM36" s="4" t="b">
        <f t="shared" si="186"/>
        <v>0</v>
      </c>
      <c r="EN36" s="4" t="b">
        <f t="shared" si="186"/>
        <v>0</v>
      </c>
      <c r="EO36" s="4" t="b">
        <f t="shared" si="186"/>
        <v>0</v>
      </c>
      <c r="EP36" s="4" t="b">
        <f t="shared" si="186"/>
        <v>0</v>
      </c>
      <c r="EQ36" s="4" t="b">
        <f t="shared" si="186"/>
        <v>0</v>
      </c>
      <c r="ER36" s="208"/>
      <c r="ES36" s="4" t="b">
        <f t="shared" si="186"/>
        <v>0</v>
      </c>
      <c r="ET36" s="4" t="b">
        <f t="shared" si="186"/>
        <v>0</v>
      </c>
      <c r="EU36" s="4" t="b">
        <f t="shared" si="186"/>
        <v>0</v>
      </c>
      <c r="EV36" s="4" t="b">
        <f t="shared" si="186"/>
        <v>0</v>
      </c>
      <c r="EW36" s="4" t="b">
        <f t="shared" si="186"/>
        <v>0</v>
      </c>
      <c r="EX36" s="225" t="b">
        <f t="shared" si="186"/>
        <v>0</v>
      </c>
      <c r="EY36" s="230">
        <f t="shared" si="154"/>
        <v>0</v>
      </c>
      <c r="EZ36" s="13">
        <f t="shared" si="134"/>
        <v>12</v>
      </c>
      <c r="FA36" s="673">
        <f t="shared" si="135"/>
        <v>12</v>
      </c>
      <c r="FB36" s="666" t="str">
        <f t="shared" si="135"/>
        <v>Hans Weber</v>
      </c>
      <c r="FC36" s="667">
        <f t="shared" si="155"/>
        <v>0</v>
      </c>
      <c r="FD36" s="667">
        <f t="shared" si="156"/>
        <v>0</v>
      </c>
      <c r="FE36" s="667">
        <f t="shared" si="157"/>
        <v>0</v>
      </c>
      <c r="FF36" s="667">
        <f t="shared" si="158"/>
        <v>0</v>
      </c>
      <c r="FG36" s="668">
        <f t="shared" si="136"/>
        <v>0</v>
      </c>
      <c r="FH36" s="669">
        <f t="shared" si="159"/>
        <v>0</v>
      </c>
      <c r="FI36" s="733">
        <f t="shared" si="160"/>
        <v>0</v>
      </c>
      <c r="FJ36" s="671">
        <f t="shared" si="161"/>
        <v>0</v>
      </c>
      <c r="FK36" s="672">
        <f t="shared" si="162"/>
        <v>0</v>
      </c>
      <c r="FL36" s="672">
        <f t="shared" si="163"/>
        <v>0</v>
      </c>
      <c r="FM36" s="672">
        <f t="shared" si="137"/>
        <v>0</v>
      </c>
      <c r="FN36" s="674">
        <f t="shared" si="164"/>
        <v>0</v>
      </c>
      <c r="FO36" s="674">
        <f t="shared" si="182"/>
        <v>0</v>
      </c>
      <c r="FP36" s="672">
        <f t="shared" si="139"/>
        <v>0</v>
      </c>
      <c r="FQ36" s="685">
        <f t="shared" si="140"/>
        <v>0</v>
      </c>
      <c r="FR36" s="58">
        <f t="shared" si="141"/>
        <v>18</v>
      </c>
      <c r="FS36" s="289">
        <f t="shared" si="165"/>
        <v>0</v>
      </c>
      <c r="FT36" s="1196">
        <f t="shared" ref="FT36:FT44" si="187">IF(FF36=2,SUM((FG36*10)+20),IF(FR36&gt;0,SUM(FO36+SUM(FS36/10000)+SUM(EY36/1000000))))</f>
        <v>0</v>
      </c>
      <c r="FU36" s="1196"/>
      <c r="FV36" s="1196"/>
      <c r="FW36" s="1196"/>
      <c r="FX36" s="727">
        <f t="shared" si="143"/>
        <v>4.7999999999999996E-7</v>
      </c>
      <c r="FY36" s="1193">
        <f t="shared" si="176"/>
        <v>4.7999999999999996E-7</v>
      </c>
      <c r="FZ36" s="1193"/>
      <c r="GA36" s="1193"/>
      <c r="GB36" s="1193"/>
      <c r="GC36" s="1193"/>
      <c r="GD36"/>
      <c r="GE36"/>
      <c r="GF36"/>
      <c r="GG36"/>
      <c r="GH36" s="290"/>
      <c r="GJ36" s="290"/>
      <c r="GW36" s="1143">
        <v>7</v>
      </c>
      <c r="GX36" s="229" t="str">
        <f>IF($N$36="","",IF($IW$36=$GX$3,$IX$36,IF(AND($H$36=$GX$3,$L$36&lt;&gt;""),$L$36,IF(AND($H$36=$GX$3,$L$36=""),$M$36,""))))</f>
        <v/>
      </c>
      <c r="GY36" s="299">
        <v>56</v>
      </c>
      <c r="GZ36" s="300" t="str">
        <f t="shared" si="105"/>
        <v/>
      </c>
      <c r="HA36" s="93" t="str">
        <f t="shared" si="62"/>
        <v/>
      </c>
      <c r="HB36" s="300"/>
      <c r="HC36" s="93" t="str">
        <f t="shared" si="106"/>
        <v/>
      </c>
      <c r="HG36" s="1143">
        <v>7</v>
      </c>
      <c r="HH36" s="229" t="str">
        <f>IF($N$36="","",IF($IW$36=$HH$3,$IX$36,IF(AND($H$36=$HH$3,$L$36&lt;&gt;""),$L$36,IF(AND($H$36=$HH$3,$L$36=""),$M$36,""))))</f>
        <v/>
      </c>
      <c r="HI36" s="299">
        <v>56</v>
      </c>
      <c r="HJ36" s="300" t="str">
        <f t="shared" si="107"/>
        <v/>
      </c>
      <c r="HK36" s="93" t="str">
        <f t="shared" si="63"/>
        <v/>
      </c>
      <c r="HL36" s="300"/>
      <c r="HM36" s="93" t="str">
        <f t="shared" si="64"/>
        <v/>
      </c>
      <c r="HN36" s="355" t="str">
        <f>IF($A31="","",$A31)</f>
        <v/>
      </c>
      <c r="HO36" s="356" t="str">
        <f>IF($H28&lt;&gt;"",$D28,IF($H29&lt;&gt;"",$D29,IF($H30&lt;&gt;"",$D30,IF($H31&lt;&gt;"",$D31,""))))</f>
        <v/>
      </c>
      <c r="HP36" s="886" t="str">
        <f>IF(HO36="","",VLOOKUP($HO36,$CW$3:$DB$18,3,FALSE))</f>
        <v/>
      </c>
      <c r="HQ36" s="357"/>
      <c r="HR36" s="338"/>
      <c r="HS36" s="338">
        <v>5</v>
      </c>
      <c r="HT36" s="338"/>
      <c r="HU36" s="356" t="str">
        <f>IF(HO36="","",HO36&amp;" ("&amp;HP36&amp;")")</f>
        <v/>
      </c>
      <c r="HV36" s="358">
        <v>5</v>
      </c>
      <c r="HW36" s="339" t="str">
        <f>IF(HU36="","",HU36)</f>
        <v/>
      </c>
      <c r="HX36" s="355" t="str">
        <f>IF($P31="","",$P31)</f>
        <v/>
      </c>
      <c r="HY36" s="356" t="str">
        <f>IF($W28&lt;&gt;"",$S28,IF($W29&lt;&gt;"",$S29,IF($W30&lt;&gt;"",$S30,IF($W31&lt;&gt;"",$S31,""))))</f>
        <v/>
      </c>
      <c r="HZ36" s="338" t="str">
        <f>IF(HY36="","",VLOOKUP($HY36,$CW$3:$DB$18,5,FALSE))</f>
        <v/>
      </c>
      <c r="IA36" s="357"/>
      <c r="IB36" s="338"/>
      <c r="IC36" s="338">
        <v>5</v>
      </c>
      <c r="ID36" s="338"/>
      <c r="IE36" s="356" t="str">
        <f>IF(HY36="","",HY36&amp;" ("&amp;HZ36&amp;")")</f>
        <v/>
      </c>
      <c r="IF36" s="359">
        <v>5</v>
      </c>
      <c r="IG36" s="339" t="str">
        <f>IF(IE36="","",IE36)</f>
        <v/>
      </c>
      <c r="IH36"/>
      <c r="II36"/>
      <c r="IJ36"/>
      <c r="IK36"/>
      <c r="IL36"/>
      <c r="IM36"/>
      <c r="IN36"/>
      <c r="IO36"/>
      <c r="IP36"/>
      <c r="IQ36"/>
      <c r="IR36"/>
      <c r="IU36" s="1111">
        <v>7</v>
      </c>
      <c r="IV36" s="695"/>
      <c r="IW36" s="696" t="str">
        <f t="shared" si="68"/>
        <v/>
      </c>
      <c r="IX36" s="697"/>
      <c r="IZ36" s="1111">
        <v>15</v>
      </c>
      <c r="JA36" s="695"/>
      <c r="JB36" s="696" t="str">
        <f t="shared" si="69"/>
        <v/>
      </c>
      <c r="JC36" s="697"/>
      <c r="JE36" s="705"/>
      <c r="JF36" s="705"/>
      <c r="JG36" s="705"/>
      <c r="JH36" s="705"/>
      <c r="JI36" s="705"/>
      <c r="JJ36" s="1334">
        <v>7</v>
      </c>
      <c r="JK36" s="875">
        <v>56</v>
      </c>
      <c r="JL36" s="878" t="str">
        <f t="shared" si="108"/>
        <v/>
      </c>
      <c r="JM36" s="872" t="str">
        <f t="shared" si="71"/>
        <v/>
      </c>
      <c r="JN36" s="868" t="str">
        <f>IF($N$36="","",IF(AND($D$36=JL$11,$F$36&lt;&gt;""),$F$36,IF(AND($D$36=JL$11,$L$36&lt;&gt;""),$L$36,IF($D$36=JL$11,$M$36,""))))</f>
        <v/>
      </c>
      <c r="JO36" s="878" t="str">
        <f t="shared" si="109"/>
        <v/>
      </c>
      <c r="JP36" s="872" t="str">
        <f t="shared" si="72"/>
        <v/>
      </c>
      <c r="JQ36" s="868" t="str">
        <f>IF($N$36="","",IF(AND($D$36=JO$11,$F$36&lt;&gt;""),$F$36,IF(AND($D$36=JO$11,$L$36&lt;&gt;""),$L$36,IF($D$36=JO$11,$M$36,""))))</f>
        <v/>
      </c>
      <c r="JR36" s="878" t="str">
        <f t="shared" si="73"/>
        <v/>
      </c>
      <c r="JS36" s="872" t="str">
        <f t="shared" si="74"/>
        <v/>
      </c>
      <c r="JT36" s="868" t="str">
        <f>IF($N$36="","",IF(AND($D$36=JR$11,$F$36&lt;&gt;""),$F$36,IF(AND($D$36=JR$11,$L$36&lt;&gt;""),$L$36,IF($D$36=JR$11,$M$36,""))))</f>
        <v/>
      </c>
      <c r="JU36" s="878" t="str">
        <f t="shared" si="75"/>
        <v/>
      </c>
      <c r="JV36" s="872" t="str">
        <f t="shared" si="76"/>
        <v/>
      </c>
      <c r="JW36" s="868" t="str">
        <f>IF($N$36="","",IF(AND($D$36=JU$11,$F$36&lt;&gt;""),$F$36,IF(AND($D$36=JU$11,$L$36&lt;&gt;""),$L$36,IF($D$36=JU$11,$M$36,""))))</f>
        <v/>
      </c>
      <c r="JX36" s="878" t="str">
        <f t="shared" si="77"/>
        <v/>
      </c>
      <c r="JY36" s="872" t="str">
        <f t="shared" si="78"/>
        <v/>
      </c>
      <c r="JZ36" s="868" t="str">
        <f>IF($N$36="","",IF(AND($D$36=JX$11,$F$36&lt;&gt;""),$F$36,IF(AND($D$36=JX$11,$L$36&lt;&gt;""),$L$36,IF($D$36=JX$11,$M$36,""))))</f>
        <v/>
      </c>
      <c r="KA36" s="878" t="str">
        <f t="shared" si="79"/>
        <v/>
      </c>
      <c r="KB36" s="872" t="str">
        <f t="shared" si="80"/>
        <v/>
      </c>
      <c r="KC36" s="868" t="str">
        <f>IF($N$36="","",IF(AND($D$36=KA$11,$F$36&lt;&gt;""),$F$36,IF(AND($D$36=KA$11,$L$36&lt;&gt;""),$L$36,IF($D$36=KA$11,$M$36,""))))</f>
        <v/>
      </c>
      <c r="KD36" s="878" t="str">
        <f t="shared" si="81"/>
        <v/>
      </c>
      <c r="KE36" s="872" t="str">
        <f t="shared" si="82"/>
        <v/>
      </c>
      <c r="KF36" s="868" t="str">
        <f>IF($N$36="","",IF(AND($D$36=KD$11,$F$36&lt;&gt;""),$F$36,IF(AND($D$36=KD$11,$L$36&lt;&gt;""),$L$36,IF($D$36=KD$11,$M$36,""))))</f>
        <v/>
      </c>
      <c r="KG36" s="878" t="str">
        <f t="shared" si="83"/>
        <v/>
      </c>
      <c r="KH36" s="872" t="str">
        <f t="shared" si="84"/>
        <v/>
      </c>
      <c r="KI36" s="868" t="str">
        <f>IF($N$36="","",IF(AND($D$36=KG$11,$F$36&lt;&gt;""),$F$36,IF(AND($D$36=KG$11,$L$36&lt;&gt;""),$L$36,IF($D$36=KG$11,$M$36,""))))</f>
        <v/>
      </c>
      <c r="KJ36" s="878" t="str">
        <f t="shared" si="85"/>
        <v/>
      </c>
      <c r="KK36" s="872" t="str">
        <f t="shared" si="86"/>
        <v/>
      </c>
      <c r="KL36" s="868" t="str">
        <f>IF($N$36="","",IF(AND($D$36=KJ$11,$F$36&lt;&gt;""),$F$36,IF(AND($D$36=KJ$11,$L$36&lt;&gt;""),$L$36,IF($D$36=KJ$11,$M$36,""))))</f>
        <v/>
      </c>
      <c r="KM36" s="878" t="str">
        <f t="shared" si="87"/>
        <v/>
      </c>
      <c r="KN36" s="872" t="str">
        <f t="shared" si="88"/>
        <v/>
      </c>
      <c r="KO36" s="868" t="str">
        <f>IF($N$36="","",IF(AND($D$36=KM$11,$F$36&lt;&gt;""),$F$36,IF(AND($D$36=KM$11,$L$36&lt;&gt;""),$L$36,IF($D$36=KM$11,$M$36,""))))</f>
        <v/>
      </c>
      <c r="KP36" s="878" t="str">
        <f t="shared" si="89"/>
        <v/>
      </c>
      <c r="KQ36" s="872" t="str">
        <f t="shared" si="90"/>
        <v/>
      </c>
      <c r="KR36" s="868" t="str">
        <f>IF($N$36="","",IF(AND($D$36=KP$11,$F$36&lt;&gt;""),$F$36,IF(AND($D$36=KP$11,$L$36&lt;&gt;""),$L$36,IF($D$36=KP$11,$M$36,""))))</f>
        <v/>
      </c>
      <c r="KS36" s="878" t="str">
        <f t="shared" si="91"/>
        <v/>
      </c>
      <c r="KT36" s="872" t="str">
        <f t="shared" si="92"/>
        <v/>
      </c>
      <c r="KU36" s="868" t="str">
        <f>IF($N$36="","",IF(AND($D$36=KS$11,$F$36&lt;&gt;""),$F$36,IF(AND($D$36=KS$11,$L$36&lt;&gt;""),$L$36,IF($D$36=KS$11,$M$36,""))))</f>
        <v/>
      </c>
      <c r="KV36" s="878" t="str">
        <f t="shared" si="93"/>
        <v/>
      </c>
      <c r="KW36" s="872" t="str">
        <f t="shared" si="94"/>
        <v/>
      </c>
      <c r="KX36" s="868" t="str">
        <f>IF($N$36="","",IF(AND($D$36=KV$11,$F$36&lt;&gt;""),$F$36,IF(AND($D$36=KV$11,$L$36&lt;&gt;""),$L$36,IF($D$36=KV$11,$M$36,""))))</f>
        <v/>
      </c>
      <c r="KY36" s="878" t="str">
        <f t="shared" si="95"/>
        <v/>
      </c>
      <c r="KZ36" s="872" t="str">
        <f t="shared" si="96"/>
        <v/>
      </c>
      <c r="LA36" s="868" t="str">
        <f>IF($N$36="","",IF(AND($D$36=KY$11,$F$36&lt;&gt;""),$F$36,IF(AND($D$36=KY$11,$L$36&lt;&gt;""),$L$36,IF($D$36=KY$11,$M$36,""))))</f>
        <v/>
      </c>
      <c r="LB36" s="878" t="str">
        <f t="shared" si="97"/>
        <v/>
      </c>
      <c r="LC36" s="872" t="str">
        <f t="shared" si="98"/>
        <v/>
      </c>
      <c r="LD36" s="868" t="str">
        <f>IF($N$36="","",IF(AND($D$36=LB$11,$F$36&lt;&gt;""),$F$36,IF(AND($D$36=LB$11,$L$36&lt;&gt;""),$L$36,IF($D$36=LB$11,$M$36,""))))</f>
        <v/>
      </c>
      <c r="LE36" s="878" t="str">
        <f t="shared" si="99"/>
        <v/>
      </c>
      <c r="LF36" s="872" t="str">
        <f t="shared" si="100"/>
        <v/>
      </c>
      <c r="LG36" s="868" t="str">
        <f>IF($N$36="","",IF(AND($D$36=LE$11,$F$36&lt;&gt;""),$F$36,IF(AND($D$36=LE$11,$L$36&lt;&gt;""),$L$36,IF($D$36=LE$11,$M$36,""))))</f>
        <v/>
      </c>
      <c r="LH36"/>
      <c r="LI36"/>
      <c r="LJ36"/>
      <c r="LK36"/>
      <c r="LL36"/>
      <c r="LM36"/>
    </row>
    <row r="37" spans="1:325" ht="12.75" customHeight="1">
      <c r="A37" s="1212"/>
      <c r="B37" s="39">
        <v>5</v>
      </c>
      <c r="C37" s="101">
        <f t="shared" si="101"/>
        <v>14</v>
      </c>
      <c r="D37" s="517" t="str">
        <f t="shared" si="102"/>
        <v>Antonin Klatovsky</v>
      </c>
      <c r="E37" s="1011"/>
      <c r="F37" s="1015" t="str">
        <f t="shared" si="47"/>
        <v/>
      </c>
      <c r="G37" s="545"/>
      <c r="H37" s="1198" t="str">
        <f t="shared" si="48"/>
        <v/>
      </c>
      <c r="I37" s="1198"/>
      <c r="J37" s="1198"/>
      <c r="K37" s="1198"/>
      <c r="L37" s="508"/>
      <c r="M37" s="146" t="str">
        <f>IF(N36="","",IF(N36="B",3,IF(N37="B",2,IF(N38="B",1,IF(N39="B",0,0)))))</f>
        <v/>
      </c>
      <c r="N37" s="707"/>
      <c r="O37" s="268"/>
      <c r="P37" s="1212"/>
      <c r="Q37" s="39">
        <v>8</v>
      </c>
      <c r="R37" s="101">
        <f t="shared" si="49"/>
        <v>7</v>
      </c>
      <c r="S37" s="517" t="str">
        <f t="shared" si="50"/>
        <v>Gunter Bauer</v>
      </c>
      <c r="T37" s="1011"/>
      <c r="U37" s="1015" t="str">
        <f t="shared" si="172"/>
        <v/>
      </c>
      <c r="V37" s="545"/>
      <c r="W37" s="1198" t="str">
        <f t="shared" si="52"/>
        <v/>
      </c>
      <c r="X37" s="1198"/>
      <c r="Y37" s="1198"/>
      <c r="Z37" s="1198"/>
      <c r="AA37" s="508"/>
      <c r="AB37" s="146" t="str">
        <f>IF(AC36="","",IF(AC36="B",3,IF(AC37="B",2,IF(AC38="B",1,IF(AC39="B",0,0)))))</f>
        <v/>
      </c>
      <c r="AC37" s="724"/>
      <c r="AD37" s="269"/>
      <c r="AE37" s="1217"/>
      <c r="AF37" s="101"/>
      <c r="AG37" s="101" t="str">
        <f t="shared" si="173"/>
        <v/>
      </c>
      <c r="AH37" s="517" t="str">
        <f>IF(AW36="B",AV36,IF(AW37="B",AV37,IF(AW38="B",AV38,IF(AW39="B",AV39,""))))</f>
        <v/>
      </c>
      <c r="AI37" s="522"/>
      <c r="AJ37" s="522"/>
      <c r="AK37" s="531"/>
      <c r="AL37" s="1215"/>
      <c r="AM37" s="1215"/>
      <c r="AN37" s="1215"/>
      <c r="AO37" s="1215"/>
      <c r="AP37" s="508"/>
      <c r="AQ37" s="146" t="str">
        <f>IF(AR36="","",IF(AR36="B",3,IF(AR37="B",2,IF(AR38="B",1,IF(AR39="B",0,0)))))</f>
        <v/>
      </c>
      <c r="AR37" s="724"/>
      <c r="AS37" s="269"/>
      <c r="AT37" s="290"/>
      <c r="AU37" s="290"/>
      <c r="AV37" s="454" t="str">
        <f>IF(AQ$27="","",IF(AY37&lt;&gt;"",AZ37,AV14))</f>
        <v/>
      </c>
      <c r="AW37" s="724"/>
      <c r="AX37" s="268"/>
      <c r="AY37" s="926"/>
      <c r="AZ37" s="1090" t="str">
        <f t="shared" si="177"/>
        <v/>
      </c>
      <c r="BA37" s="1091"/>
      <c r="BB37" s="1091"/>
      <c r="BC37" s="1091"/>
      <c r="BD37" s="1092"/>
      <c r="BM37" s="8" t="str">
        <f>$M37</f>
        <v/>
      </c>
      <c r="BR37" s="8" t="str">
        <f>$AB37</f>
        <v/>
      </c>
      <c r="BW37" s="8" t="str">
        <f>$AQ37</f>
        <v/>
      </c>
      <c r="BY37" s="8"/>
      <c r="CA37" s="762"/>
      <c r="CB37" s="13">
        <v>2</v>
      </c>
      <c r="CG37" s="13">
        <v>11</v>
      </c>
      <c r="CH37" s="13" t="str">
        <f t="shared" si="146"/>
        <v>Vitaly Khomitsevich</v>
      </c>
      <c r="CI37" s="770">
        <f t="shared" si="111"/>
        <v>0</v>
      </c>
      <c r="CU37" s="13">
        <f t="shared" si="147"/>
        <v>14</v>
      </c>
      <c r="CV37" s="13">
        <f t="shared" si="112"/>
        <v>15</v>
      </c>
      <c r="CW37" s="13" t="str">
        <f t="shared" si="112"/>
        <v>Harald Simon</v>
      </c>
      <c r="CX37" s="13" t="str">
        <f t="shared" si="112"/>
        <v/>
      </c>
      <c r="CY37" s="13" t="str">
        <f t="shared" si="112"/>
        <v/>
      </c>
      <c r="CZ37" s="13" t="str">
        <f t="shared" si="112"/>
        <v/>
      </c>
      <c r="DA37" s="13" t="str">
        <f t="shared" si="112"/>
        <v/>
      </c>
      <c r="DC37" s="13">
        <f t="shared" si="148"/>
        <v>0</v>
      </c>
      <c r="DD37" s="243">
        <f t="shared" si="113"/>
        <v>0</v>
      </c>
      <c r="DE37" s="236">
        <f t="shared" si="149"/>
        <v>0</v>
      </c>
      <c r="DF37" s="232">
        <f t="shared" si="114"/>
        <v>0</v>
      </c>
      <c r="DG37" s="234">
        <f t="shared" si="150"/>
        <v>0</v>
      </c>
      <c r="DH37" s="232">
        <f t="shared" si="115"/>
        <v>0</v>
      </c>
      <c r="DI37" s="41">
        <f t="shared" si="151"/>
        <v>0</v>
      </c>
      <c r="DJ37" s="271">
        <f t="shared" si="116"/>
        <v>0</v>
      </c>
      <c r="DK37" s="273">
        <f t="shared" si="117"/>
        <v>0</v>
      </c>
      <c r="DL37" s="281">
        <f t="shared" si="118"/>
        <v>0</v>
      </c>
      <c r="DM37" s="239">
        <f t="shared" si="119"/>
        <v>4.4999999999999998E-7</v>
      </c>
      <c r="DN37" s="285">
        <f t="shared" si="120"/>
        <v>0</v>
      </c>
      <c r="DO37" s="285">
        <f t="shared" si="121"/>
        <v>0</v>
      </c>
      <c r="DP37" s="285">
        <f t="shared" si="122"/>
        <v>4.4999999999999998E-7</v>
      </c>
      <c r="DQ37" s="597"/>
      <c r="DR37" s="205">
        <f t="shared" si="152"/>
        <v>15</v>
      </c>
      <c r="DS37" s="4">
        <f t="shared" si="166"/>
        <v>15</v>
      </c>
      <c r="DT37" s="4">
        <f t="shared" si="168"/>
        <v>15</v>
      </c>
      <c r="DU37" s="4">
        <f t="shared" si="170"/>
        <v>15</v>
      </c>
      <c r="DV37" s="4">
        <f t="shared" si="174"/>
        <v>15</v>
      </c>
      <c r="DW37" s="4">
        <f t="shared" si="178"/>
        <v>15</v>
      </c>
      <c r="DX37" s="4">
        <f t="shared" si="180"/>
        <v>15</v>
      </c>
      <c r="DY37" s="4">
        <f t="shared" si="183"/>
        <v>15</v>
      </c>
      <c r="DZ37" s="4">
        <f t="shared" si="185"/>
        <v>15</v>
      </c>
      <c r="EA37" s="4">
        <f t="shared" ref="EA37:EA42" si="188">IF($FO37=$FO$36,$CV13,"")</f>
        <v>15</v>
      </c>
      <c r="EB37" s="208"/>
      <c r="EC37" s="4">
        <f t="shared" si="128"/>
        <v>15</v>
      </c>
      <c r="ED37" s="4">
        <f t="shared" si="129"/>
        <v>15</v>
      </c>
      <c r="EE37" s="4">
        <f t="shared" si="130"/>
        <v>15</v>
      </c>
      <c r="EF37" s="4">
        <f t="shared" si="131"/>
        <v>15</v>
      </c>
      <c r="EG37" s="225">
        <f t="shared" si="132"/>
        <v>15</v>
      </c>
      <c r="EH37" s="215">
        <f>$AG$4</f>
        <v>15</v>
      </c>
      <c r="EI37" s="205" t="b">
        <f>IF(DR$37="","",FT$13)</f>
        <v>0</v>
      </c>
      <c r="EJ37" s="4" t="b">
        <f t="shared" ref="EJ37:EX37" si="189">IF(DS$37="","",FU$13)</f>
        <v>0</v>
      </c>
      <c r="EK37" s="4" t="b">
        <f t="shared" si="189"/>
        <v>0</v>
      </c>
      <c r="EL37" s="4" t="b">
        <f t="shared" si="189"/>
        <v>0</v>
      </c>
      <c r="EM37" s="4" t="b">
        <f t="shared" si="189"/>
        <v>0</v>
      </c>
      <c r="EN37" s="4" t="b">
        <f t="shared" si="189"/>
        <v>0</v>
      </c>
      <c r="EO37" s="4" t="b">
        <f t="shared" si="189"/>
        <v>0</v>
      </c>
      <c r="EP37" s="4" t="b">
        <f t="shared" si="189"/>
        <v>0</v>
      </c>
      <c r="EQ37" s="4" t="b">
        <f t="shared" si="189"/>
        <v>0</v>
      </c>
      <c r="ER37" s="4" t="b">
        <f t="shared" si="189"/>
        <v>0</v>
      </c>
      <c r="ES37" s="208"/>
      <c r="ET37" s="4" t="b">
        <f t="shared" si="189"/>
        <v>0</v>
      </c>
      <c r="EU37" s="4" t="b">
        <f t="shared" si="189"/>
        <v>0</v>
      </c>
      <c r="EV37" s="4" t="b">
        <f t="shared" si="189"/>
        <v>0</v>
      </c>
      <c r="EW37" s="4" t="b">
        <f t="shared" si="189"/>
        <v>0</v>
      </c>
      <c r="EX37" s="225" t="b">
        <f t="shared" si="189"/>
        <v>0</v>
      </c>
      <c r="EY37" s="230">
        <f t="shared" si="154"/>
        <v>0</v>
      </c>
      <c r="EZ37" s="13">
        <f t="shared" si="134"/>
        <v>14</v>
      </c>
      <c r="FA37" s="657">
        <f t="shared" si="135"/>
        <v>15</v>
      </c>
      <c r="FB37" s="654" t="str">
        <f t="shared" si="135"/>
        <v>Harald Simon</v>
      </c>
      <c r="FC37" s="655">
        <f t="shared" si="155"/>
        <v>0</v>
      </c>
      <c r="FD37" s="655">
        <f t="shared" si="156"/>
        <v>0</v>
      </c>
      <c r="FE37" s="655">
        <f t="shared" si="157"/>
        <v>0</v>
      </c>
      <c r="FF37" s="655">
        <f t="shared" si="158"/>
        <v>0</v>
      </c>
      <c r="FG37" s="658">
        <f t="shared" si="136"/>
        <v>0</v>
      </c>
      <c r="FH37" s="656">
        <f t="shared" si="159"/>
        <v>0</v>
      </c>
      <c r="FI37" s="661">
        <f t="shared" si="160"/>
        <v>0</v>
      </c>
      <c r="FJ37" s="663">
        <f t="shared" si="161"/>
        <v>0</v>
      </c>
      <c r="FK37" s="762">
        <f t="shared" si="162"/>
        <v>0</v>
      </c>
      <c r="FL37" s="762">
        <f t="shared" si="163"/>
        <v>0</v>
      </c>
      <c r="FM37" s="762">
        <f t="shared" si="137"/>
        <v>0</v>
      </c>
      <c r="FN37" s="665">
        <f t="shared" si="164"/>
        <v>0</v>
      </c>
      <c r="FO37" s="665">
        <f t="shared" si="182"/>
        <v>0</v>
      </c>
      <c r="FP37" s="762">
        <f t="shared" si="139"/>
        <v>0</v>
      </c>
      <c r="FQ37" s="316">
        <f t="shared" si="140"/>
        <v>0</v>
      </c>
      <c r="FR37" s="13">
        <f t="shared" si="141"/>
        <v>18</v>
      </c>
      <c r="FS37" s="290">
        <f t="shared" si="165"/>
        <v>0</v>
      </c>
      <c r="FT37" s="1192">
        <f t="shared" si="187"/>
        <v>0</v>
      </c>
      <c r="FU37" s="1192"/>
      <c r="FV37" s="1192"/>
      <c r="FW37" s="1192"/>
      <c r="FX37" s="737">
        <f t="shared" si="143"/>
        <v>4.4999999999999998E-7</v>
      </c>
      <c r="FY37" s="1114">
        <f t="shared" si="176"/>
        <v>4.4999999999999998E-7</v>
      </c>
      <c r="FZ37" s="1114"/>
      <c r="GA37" s="1114"/>
      <c r="GB37" s="1114"/>
      <c r="GC37" s="1114"/>
      <c r="GD37"/>
      <c r="GE37"/>
      <c r="GF37"/>
      <c r="GG37"/>
      <c r="GH37" s="290"/>
      <c r="GJ37" s="290"/>
      <c r="GW37" s="1144"/>
      <c r="GX37" s="230" t="str">
        <f>IF($N$36="","",IF($IW$37=$GX$3,$IX$37,IF(AND($H$37=$GX$3,$L$37&lt;&gt;""),$L$37,IF(AND($H$37=$GX$3,$L$37=""),$M$37,""))))</f>
        <v/>
      </c>
      <c r="GY37" s="301">
        <v>55</v>
      </c>
      <c r="GZ37" s="5" t="str">
        <f t="shared" si="105"/>
        <v/>
      </c>
      <c r="HA37" s="95" t="str">
        <f t="shared" si="62"/>
        <v/>
      </c>
      <c r="HB37" s="5"/>
      <c r="HC37" s="95" t="str">
        <f t="shared" si="106"/>
        <v/>
      </c>
      <c r="HG37" s="1144"/>
      <c r="HH37" s="230" t="str">
        <f>IF($N$36="","",IF($IW$37=$HH$3,$IX$37,IF(AND($H$37=$HH$3,$L$37&lt;&gt;""),$L$37,IF(AND($H$37=$HH$3,$L$37=""),$M$37,""))))</f>
        <v/>
      </c>
      <c r="HI37" s="301">
        <v>55</v>
      </c>
      <c r="HJ37" s="5" t="str">
        <f t="shared" si="107"/>
        <v/>
      </c>
      <c r="HK37" s="95" t="str">
        <f t="shared" si="63"/>
        <v/>
      </c>
      <c r="HL37" s="5"/>
      <c r="HM37" s="95" t="str">
        <f t="shared" si="64"/>
        <v/>
      </c>
      <c r="HN37" s="1148">
        <v>6</v>
      </c>
      <c r="HO37" s="346" t="str">
        <f>IF($H32="",$D32,$H32)</f>
        <v>Igor Kononov</v>
      </c>
      <c r="HP37" s="883" t="str">
        <f>M32</f>
        <v/>
      </c>
      <c r="HQ37" s="335" t="str">
        <f>IF($L32="","",$L32)</f>
        <v/>
      </c>
      <c r="HR37" s="335">
        <v>0.04</v>
      </c>
      <c r="HS37" s="456" t="str">
        <f>IF(HQ37&lt;&gt;"",-1,HP37)</f>
        <v/>
      </c>
      <c r="HT37" s="457" t="e">
        <f>RANK(HS37,HS37:HS40)+COUNTIF(HS37:HS37,HS37)-1</f>
        <v>#VALUE!</v>
      </c>
      <c r="HU37" s="335" t="str">
        <f>IF(HQ37="",HO37,HO37&amp;" ("&amp;HQ37&amp;")")</f>
        <v>Igor Kononov</v>
      </c>
      <c r="HV37" s="347">
        <v>1</v>
      </c>
      <c r="HW37" s="336" t="str">
        <f>IF(N32="","",VLOOKUP(HV37,HT37:HU40,2,FALSE))</f>
        <v/>
      </c>
      <c r="HX37" s="1148">
        <v>14</v>
      </c>
      <c r="HY37" s="346" t="str">
        <f>IF($W32="",$S32,$W32)</f>
        <v>Rene Stellingwerf</v>
      </c>
      <c r="HZ37" s="335" t="str">
        <f>AB32</f>
        <v/>
      </c>
      <c r="IA37" s="335" t="str">
        <f>IF($AA32="","",$AA32)</f>
        <v/>
      </c>
      <c r="IB37" s="335">
        <v>0.04</v>
      </c>
      <c r="IC37" s="456" t="str">
        <f>IF(IA37&lt;&gt;"",-1,HZ37)</f>
        <v/>
      </c>
      <c r="ID37" s="457" t="e">
        <f>RANK(IC37,IC37:IC40)+COUNTIF(IC37:IC37,IC37)-1</f>
        <v>#VALUE!</v>
      </c>
      <c r="IE37" s="335" t="str">
        <f>IF(IA37="",HY37,HY37&amp;" ("&amp;IA37&amp;")")</f>
        <v>Rene Stellingwerf</v>
      </c>
      <c r="IF37" s="350">
        <v>1</v>
      </c>
      <c r="IG37" s="336" t="str">
        <f>IF(AC32="","",VLOOKUP(IF37,ID37:IE40,2,FALSE))</f>
        <v/>
      </c>
      <c r="IH37" s="1146" t="s">
        <v>92</v>
      </c>
      <c r="II37" s="360" t="str">
        <f>IF($AL32="",$AH32,$AL32)</f>
        <v/>
      </c>
      <c r="IJ37" s="335" t="str">
        <f>AQ32</f>
        <v/>
      </c>
      <c r="IK37" s="335" t="str">
        <f>IF($AP32="","",$AP32)</f>
        <v/>
      </c>
      <c r="IL37" s="335">
        <v>0.04</v>
      </c>
      <c r="IM37" s="335" t="str">
        <f>IF(IK37&lt;&gt;"",-1,IJ37)</f>
        <v/>
      </c>
      <c r="IN37" s="457" t="e">
        <f>RANK(IM37,IM37:IM40)+COUNTIF(IM37:IM37,IM37)-1</f>
        <v>#VALUE!</v>
      </c>
      <c r="IO37" s="335" t="str">
        <f>IF(IK37="",II37,II37&amp;" ("&amp;IK37&amp;")")</f>
        <v/>
      </c>
      <c r="IP37" s="350">
        <v>1</v>
      </c>
      <c r="IQ37" s="336" t="str">
        <f>IF($AQ$35="","",VLOOKUP($IP37,$IN$37:$IO$40,2,FALSE))</f>
        <v/>
      </c>
      <c r="IU37" s="1112"/>
      <c r="IV37" s="698"/>
      <c r="IW37" s="699" t="str">
        <f t="shared" si="68"/>
        <v/>
      </c>
      <c r="IX37" s="700"/>
      <c r="IZ37" s="1112"/>
      <c r="JA37" s="698"/>
      <c r="JB37" s="699" t="str">
        <f t="shared" si="69"/>
        <v/>
      </c>
      <c r="JC37" s="700"/>
      <c r="JE37" s="705"/>
      <c r="JF37" s="705"/>
      <c r="JG37" s="705"/>
      <c r="JH37" s="705"/>
      <c r="JI37" s="705"/>
      <c r="JJ37" s="1335"/>
      <c r="JK37" s="876">
        <v>55</v>
      </c>
      <c r="JL37" s="879" t="str">
        <f t="shared" si="108"/>
        <v/>
      </c>
      <c r="JM37" s="655" t="str">
        <f t="shared" si="71"/>
        <v/>
      </c>
      <c r="JN37" s="869" t="str">
        <f>IF($N$36="","",IF(AND($D$37=JL$11,$F$37&lt;&gt;""),$F$37,IF(AND($D$37=JL$11,$L$37&lt;&gt;""),$L$37,IF($D$37=JL$11,$M$37,""))))</f>
        <v/>
      </c>
      <c r="JO37" s="879" t="str">
        <f t="shared" si="109"/>
        <v/>
      </c>
      <c r="JP37" s="655" t="str">
        <f t="shared" si="72"/>
        <v/>
      </c>
      <c r="JQ37" s="869" t="str">
        <f>IF($N$36="","",IF(AND($D$37=JO$11,$F$37&lt;&gt;""),$F$37,IF(AND($D$37=JO$11,$L$37&lt;&gt;""),$L$37,IF($D$37=JO$11,$M$37,""))))</f>
        <v/>
      </c>
      <c r="JR37" s="879" t="str">
        <f t="shared" si="73"/>
        <v/>
      </c>
      <c r="JS37" s="655" t="str">
        <f t="shared" si="74"/>
        <v/>
      </c>
      <c r="JT37" s="869" t="str">
        <f>IF($N$36="","",IF(AND($D$37=JR$11,$F$37&lt;&gt;""),$F$37,IF(AND($D$37=JR$11,$L$37&lt;&gt;""),$L$37,IF($D$37=JR$11,$M$37,""))))</f>
        <v/>
      </c>
      <c r="JU37" s="879" t="str">
        <f t="shared" si="75"/>
        <v/>
      </c>
      <c r="JV37" s="655" t="str">
        <f t="shared" si="76"/>
        <v/>
      </c>
      <c r="JW37" s="869" t="str">
        <f>IF($N$36="","",IF(AND($D$37=JU$11,$F$37&lt;&gt;""),$F$37,IF(AND($D$37=JU$11,$L$37&lt;&gt;""),$L$37,IF($D$37=JU$11,$M$37,""))))</f>
        <v/>
      </c>
      <c r="JX37" s="879" t="str">
        <f t="shared" si="77"/>
        <v/>
      </c>
      <c r="JY37" s="655" t="str">
        <f t="shared" si="78"/>
        <v/>
      </c>
      <c r="JZ37" s="869" t="str">
        <f>IF($N$36="","",IF(AND($D$37=JX$11,$F$37&lt;&gt;""),$F$37,IF(AND($D$37=JX$11,$L$37&lt;&gt;""),$L$37,IF($D$37=JX$11,$M$37,""))))</f>
        <v/>
      </c>
      <c r="KA37" s="879" t="str">
        <f t="shared" si="79"/>
        <v/>
      </c>
      <c r="KB37" s="655" t="str">
        <f t="shared" si="80"/>
        <v/>
      </c>
      <c r="KC37" s="869" t="str">
        <f>IF($N$36="","",IF(AND($D$37=KA$11,$F$37&lt;&gt;""),$F$37,IF(AND($D$37=KA$11,$L$37&lt;&gt;""),$L$37,IF($D$37=KA$11,$M$37,""))))</f>
        <v/>
      </c>
      <c r="KD37" s="879" t="str">
        <f t="shared" si="81"/>
        <v/>
      </c>
      <c r="KE37" s="655" t="str">
        <f t="shared" si="82"/>
        <v/>
      </c>
      <c r="KF37" s="869" t="str">
        <f>IF($N$36="","",IF(AND($D$37=KD$11,$F$37&lt;&gt;""),$F$37,IF(AND($D$37=KD$11,$L$37&lt;&gt;""),$L$37,IF($D$37=KD$11,$M$37,""))))</f>
        <v/>
      </c>
      <c r="KG37" s="879" t="str">
        <f t="shared" si="83"/>
        <v/>
      </c>
      <c r="KH37" s="655" t="str">
        <f t="shared" si="84"/>
        <v/>
      </c>
      <c r="KI37" s="869" t="str">
        <f>IF($N$36="","",IF(AND($D$37=KG$11,$F$37&lt;&gt;""),$F$37,IF(AND($D$37=KG$11,$L$37&lt;&gt;""),$L$37,IF($D$37=KG$11,$M$37,""))))</f>
        <v/>
      </c>
      <c r="KJ37" s="879" t="str">
        <f t="shared" si="85"/>
        <v/>
      </c>
      <c r="KK37" s="655" t="str">
        <f t="shared" si="86"/>
        <v/>
      </c>
      <c r="KL37" s="869" t="str">
        <f>IF($N$36="","",IF(AND($D$37=KJ$11,$F$37&lt;&gt;""),$F$37,IF(AND($D$37=KJ$11,$L$37&lt;&gt;""),$L$37,IF($D$37=KJ$11,$M$37,""))))</f>
        <v/>
      </c>
      <c r="KM37" s="879" t="str">
        <f t="shared" si="87"/>
        <v/>
      </c>
      <c r="KN37" s="655" t="str">
        <f t="shared" si="88"/>
        <v/>
      </c>
      <c r="KO37" s="869" t="str">
        <f>IF($N$36="","",IF(AND($D$37=KM$11,$F$37&lt;&gt;""),$F$37,IF(AND($D$37=KM$11,$L$37&lt;&gt;""),$L$37,IF($D$37=KM$11,$M$37,""))))</f>
        <v/>
      </c>
      <c r="KP37" s="879" t="str">
        <f t="shared" si="89"/>
        <v/>
      </c>
      <c r="KQ37" s="655" t="str">
        <f t="shared" si="90"/>
        <v/>
      </c>
      <c r="KR37" s="869" t="str">
        <f>IF($N$36="","",IF(AND($D$37=KP$11,$F$37&lt;&gt;""),$F$37,IF(AND($D$37=KP$11,$L$37&lt;&gt;""),$L$37,IF($D$37=KP$11,$M$37,""))))</f>
        <v/>
      </c>
      <c r="KS37" s="879" t="str">
        <f t="shared" si="91"/>
        <v/>
      </c>
      <c r="KT37" s="655" t="str">
        <f t="shared" si="92"/>
        <v/>
      </c>
      <c r="KU37" s="869" t="str">
        <f>IF($N$36="","",IF(AND($D$37=KS$11,$F$37&lt;&gt;""),$F$37,IF(AND($D$37=KS$11,$L$37&lt;&gt;""),$L$37,IF($D$37=KS$11,$M$37,""))))</f>
        <v/>
      </c>
      <c r="KV37" s="879" t="str">
        <f t="shared" si="93"/>
        <v/>
      </c>
      <c r="KW37" s="655" t="str">
        <f t="shared" si="94"/>
        <v/>
      </c>
      <c r="KX37" s="869" t="str">
        <f>IF($N$36="","",IF(AND($D$37=KV$11,$F$37&lt;&gt;""),$F$37,IF(AND($D$37=KV$11,$L$37&lt;&gt;""),$L$37,IF($D$37=KV$11,$M$37,""))))</f>
        <v/>
      </c>
      <c r="KY37" s="879" t="str">
        <f t="shared" si="95"/>
        <v/>
      </c>
      <c r="KZ37" s="655" t="str">
        <f t="shared" si="96"/>
        <v/>
      </c>
      <c r="LA37" s="869" t="str">
        <f>IF($N$36="","",IF(AND($D$37=KY$11,$F$37&lt;&gt;""),$F$37,IF(AND($D$37=KY$11,$L$37&lt;&gt;""),$L$37,IF($D$37=KY$11,$M$37,""))))</f>
        <v/>
      </c>
      <c r="LB37" s="879" t="str">
        <f t="shared" si="97"/>
        <v/>
      </c>
      <c r="LC37" s="655" t="str">
        <f t="shared" si="98"/>
        <v/>
      </c>
      <c r="LD37" s="869" t="str">
        <f>IF($N$36="","",IF(AND($D$37=LB$11,$F$37&lt;&gt;""),$F$37,IF(AND($D$37=LB$11,$L$37&lt;&gt;""),$L$37,IF($D$37=LB$11,$M$37,""))))</f>
        <v/>
      </c>
      <c r="LE37" s="879" t="str">
        <f t="shared" si="99"/>
        <v/>
      </c>
      <c r="LF37" s="655" t="str">
        <f t="shared" si="100"/>
        <v/>
      </c>
      <c r="LG37" s="869" t="str">
        <f>IF($N$36="","",IF(AND($D$37=LE$11,$F$37&lt;&gt;""),$F$37,IF(AND($D$37=LE$11,$L$37&lt;&gt;""),$L$37,IF($D$37=LE$11,$M$37,""))))</f>
        <v/>
      </c>
      <c r="LH37"/>
      <c r="LI37"/>
      <c r="LJ37"/>
      <c r="LK37"/>
      <c r="LL37"/>
      <c r="LM37"/>
    </row>
    <row r="38" spans="1:325" ht="12.75" customHeight="1">
      <c r="A38" s="1212"/>
      <c r="B38" s="39">
        <v>12</v>
      </c>
      <c r="C38" s="102">
        <f t="shared" si="101"/>
        <v>11</v>
      </c>
      <c r="D38" s="517" t="str">
        <f t="shared" si="102"/>
        <v>Vitaly Khomitsevich</v>
      </c>
      <c r="E38" s="1011"/>
      <c r="F38" s="1015" t="str">
        <f t="shared" si="47"/>
        <v/>
      </c>
      <c r="G38" s="545"/>
      <c r="H38" s="1198" t="str">
        <f t="shared" si="48"/>
        <v/>
      </c>
      <c r="I38" s="1198"/>
      <c r="J38" s="1198"/>
      <c r="K38" s="1198"/>
      <c r="L38" s="508"/>
      <c r="M38" s="146" t="str">
        <f>IF(N36="","",IF(N36="w",3,IF(N37="w",2,IF(N38="w",1,IF(N39="w",0,0)))))</f>
        <v/>
      </c>
      <c r="N38" s="707"/>
      <c r="O38" s="268"/>
      <c r="P38" s="1212"/>
      <c r="Q38" s="39">
        <v>2</v>
      </c>
      <c r="R38" s="102">
        <f t="shared" si="49"/>
        <v>3</v>
      </c>
      <c r="S38" s="517" t="str">
        <f t="shared" si="50"/>
        <v>Dimitry Khomitsevich</v>
      </c>
      <c r="T38" s="1011"/>
      <c r="U38" s="1015" t="str">
        <f t="shared" si="172"/>
        <v/>
      </c>
      <c r="V38" s="545"/>
      <c r="W38" s="1198" t="str">
        <f t="shared" si="52"/>
        <v/>
      </c>
      <c r="X38" s="1198"/>
      <c r="Y38" s="1198"/>
      <c r="Z38" s="1198"/>
      <c r="AA38" s="508"/>
      <c r="AB38" s="146" t="str">
        <f>IF(AC36="","",IF(AC36="w",3,IF(AC37="w",2,IF(AC38="w",1,IF(AC39="w",0,0)))))</f>
        <v/>
      </c>
      <c r="AC38" s="724"/>
      <c r="AD38" s="269"/>
      <c r="AE38" s="1217"/>
      <c r="AF38" s="102"/>
      <c r="AG38" s="102" t="str">
        <f t="shared" si="173"/>
        <v/>
      </c>
      <c r="AH38" s="517" t="str">
        <f>IF(AW36="W",AV36,IF(AW37="W",AV37,IF(AW38="W",AV38,IF(AW39="W",AV39,""))))</f>
        <v/>
      </c>
      <c r="AI38" s="522"/>
      <c r="AJ38" s="522"/>
      <c r="AK38" s="531"/>
      <c r="AL38" s="1215"/>
      <c r="AM38" s="1215"/>
      <c r="AN38" s="1215"/>
      <c r="AO38" s="1215"/>
      <c r="AP38" s="508"/>
      <c r="AQ38" s="146" t="str">
        <f>IF(AR36="","",IF(AR36="w",3,IF(AR37="w",2,IF(AR38="w",1,IF(AR39="w",0,0)))))</f>
        <v/>
      </c>
      <c r="AR38" s="724"/>
      <c r="AS38" s="269"/>
      <c r="AT38" s="290"/>
      <c r="AU38" s="290"/>
      <c r="AV38" s="454" t="str">
        <f>IF(AQ$27="","",IF(AY38&lt;&gt;"",AZ38,AV16))</f>
        <v/>
      </c>
      <c r="AW38" s="724"/>
      <c r="AX38" s="268"/>
      <c r="AY38" s="926"/>
      <c r="AZ38" s="1090" t="str">
        <f t="shared" si="177"/>
        <v/>
      </c>
      <c r="BA38" s="1091"/>
      <c r="BB38" s="1091"/>
      <c r="BC38" s="1091"/>
      <c r="BD38" s="1092"/>
      <c r="BN38" s="8" t="str">
        <f>$M38</f>
        <v/>
      </c>
      <c r="BS38" s="8" t="str">
        <f>$AB38</f>
        <v/>
      </c>
      <c r="BX38" s="8" t="str">
        <f>$AQ38</f>
        <v/>
      </c>
      <c r="BY38" s="8"/>
      <c r="CA38" s="762"/>
      <c r="CB38" s="13">
        <v>3</v>
      </c>
      <c r="CG38" s="13">
        <v>12</v>
      </c>
      <c r="CH38" s="13" t="str">
        <f t="shared" si="146"/>
        <v>Hans Weber</v>
      </c>
      <c r="CI38" s="770">
        <f t="shared" si="111"/>
        <v>0</v>
      </c>
      <c r="CU38" s="13">
        <f t="shared" si="147"/>
        <v>11</v>
      </c>
      <c r="CV38" s="13">
        <f t="shared" si="112"/>
        <v>11</v>
      </c>
      <c r="CW38" s="13" t="str">
        <f t="shared" si="112"/>
        <v>Vitaly Khomitsevich</v>
      </c>
      <c r="CX38" s="13" t="str">
        <f t="shared" si="112"/>
        <v/>
      </c>
      <c r="CY38" s="13" t="str">
        <f t="shared" si="112"/>
        <v/>
      </c>
      <c r="CZ38" s="13" t="str">
        <f t="shared" si="112"/>
        <v/>
      </c>
      <c r="DA38" s="13" t="str">
        <f t="shared" si="112"/>
        <v/>
      </c>
      <c r="DC38" s="13">
        <f t="shared" si="148"/>
        <v>0</v>
      </c>
      <c r="DD38" s="243">
        <f t="shared" si="113"/>
        <v>0</v>
      </c>
      <c r="DE38" s="236">
        <f t="shared" si="149"/>
        <v>0</v>
      </c>
      <c r="DF38" s="232">
        <f t="shared" si="114"/>
        <v>0</v>
      </c>
      <c r="DG38" s="234">
        <f t="shared" si="150"/>
        <v>0</v>
      </c>
      <c r="DH38" s="232">
        <f t="shared" si="115"/>
        <v>0</v>
      </c>
      <c r="DI38" s="41">
        <f t="shared" si="151"/>
        <v>0</v>
      </c>
      <c r="DJ38" s="271">
        <f t="shared" si="116"/>
        <v>0</v>
      </c>
      <c r="DK38" s="273">
        <f t="shared" si="117"/>
        <v>0</v>
      </c>
      <c r="DL38" s="281">
        <f t="shared" si="118"/>
        <v>0</v>
      </c>
      <c r="DM38" s="238">
        <f t="shared" si="119"/>
        <v>4.8999999999999997E-7</v>
      </c>
      <c r="DN38" s="284">
        <f t="shared" si="120"/>
        <v>0</v>
      </c>
      <c r="DO38" s="284">
        <f t="shared" si="121"/>
        <v>0</v>
      </c>
      <c r="DP38" s="284">
        <f t="shared" si="122"/>
        <v>4.8999999999999997E-7</v>
      </c>
      <c r="DQ38" s="597"/>
      <c r="DR38" s="205">
        <f t="shared" si="152"/>
        <v>11</v>
      </c>
      <c r="DS38" s="4">
        <f t="shared" si="166"/>
        <v>11</v>
      </c>
      <c r="DT38" s="4">
        <f t="shared" si="168"/>
        <v>11</v>
      </c>
      <c r="DU38" s="4">
        <f t="shared" si="170"/>
        <v>11</v>
      </c>
      <c r="DV38" s="4">
        <f t="shared" si="174"/>
        <v>11</v>
      </c>
      <c r="DW38" s="4">
        <f t="shared" si="178"/>
        <v>11</v>
      </c>
      <c r="DX38" s="4">
        <f t="shared" si="180"/>
        <v>11</v>
      </c>
      <c r="DY38" s="4">
        <f t="shared" si="183"/>
        <v>11</v>
      </c>
      <c r="DZ38" s="4">
        <f t="shared" si="185"/>
        <v>11</v>
      </c>
      <c r="EA38" s="4">
        <f t="shared" si="188"/>
        <v>11</v>
      </c>
      <c r="EB38" s="4">
        <f>IF($FO38=$FO$37,$CV14,"")</f>
        <v>11</v>
      </c>
      <c r="EC38" s="208"/>
      <c r="ED38" s="4">
        <f t="shared" si="129"/>
        <v>11</v>
      </c>
      <c r="EE38" s="4">
        <f t="shared" si="130"/>
        <v>11</v>
      </c>
      <c r="EF38" s="4">
        <f t="shared" si="131"/>
        <v>11</v>
      </c>
      <c r="EG38" s="225">
        <f t="shared" si="132"/>
        <v>11</v>
      </c>
      <c r="EH38" s="215">
        <f>$AG$5</f>
        <v>11</v>
      </c>
      <c r="EI38" s="205" t="b">
        <f>IF(DR$38="","",FT$14)</f>
        <v>0</v>
      </c>
      <c r="EJ38" s="4" t="b">
        <f t="shared" ref="EJ38:EX38" si="190">IF(DS$38="","",FU$14)</f>
        <v>0</v>
      </c>
      <c r="EK38" s="4" t="b">
        <f t="shared" si="190"/>
        <v>0</v>
      </c>
      <c r="EL38" s="4" t="b">
        <f t="shared" si="190"/>
        <v>0</v>
      </c>
      <c r="EM38" s="4" t="b">
        <f t="shared" si="190"/>
        <v>0</v>
      </c>
      <c r="EN38" s="4" t="b">
        <f t="shared" si="190"/>
        <v>0</v>
      </c>
      <c r="EO38" s="4" t="b">
        <f t="shared" si="190"/>
        <v>0</v>
      </c>
      <c r="EP38" s="4" t="b">
        <f t="shared" si="190"/>
        <v>0</v>
      </c>
      <c r="EQ38" s="4" t="b">
        <f t="shared" si="190"/>
        <v>0</v>
      </c>
      <c r="ER38" s="4" t="b">
        <f t="shared" si="190"/>
        <v>0</v>
      </c>
      <c r="ES38" s="4" t="b">
        <f t="shared" si="190"/>
        <v>0</v>
      </c>
      <c r="ET38" s="208"/>
      <c r="EU38" s="4" t="b">
        <f t="shared" si="190"/>
        <v>0</v>
      </c>
      <c r="EV38" s="4" t="b">
        <f t="shared" si="190"/>
        <v>0</v>
      </c>
      <c r="EW38" s="4" t="b">
        <f t="shared" si="190"/>
        <v>0</v>
      </c>
      <c r="EX38" s="225" t="b">
        <f t="shared" si="190"/>
        <v>0</v>
      </c>
      <c r="EY38" s="230">
        <f t="shared" si="154"/>
        <v>0</v>
      </c>
      <c r="EZ38" s="13">
        <f t="shared" si="134"/>
        <v>11</v>
      </c>
      <c r="FA38" s="657">
        <f t="shared" si="135"/>
        <v>11</v>
      </c>
      <c r="FB38" s="654" t="str">
        <f t="shared" si="135"/>
        <v>Vitaly Khomitsevich</v>
      </c>
      <c r="FC38" s="655">
        <f t="shared" si="155"/>
        <v>0</v>
      </c>
      <c r="FD38" s="655">
        <f t="shared" si="156"/>
        <v>0</v>
      </c>
      <c r="FE38" s="655">
        <f t="shared" si="157"/>
        <v>0</v>
      </c>
      <c r="FF38" s="655">
        <f t="shared" si="158"/>
        <v>0</v>
      </c>
      <c r="FG38" s="658">
        <f t="shared" si="136"/>
        <v>0</v>
      </c>
      <c r="FH38" s="656">
        <f t="shared" si="159"/>
        <v>0</v>
      </c>
      <c r="FI38" s="661">
        <f t="shared" si="160"/>
        <v>0</v>
      </c>
      <c r="FJ38" s="663">
        <f t="shared" si="161"/>
        <v>0</v>
      </c>
      <c r="FK38" s="762">
        <f t="shared" si="162"/>
        <v>0</v>
      </c>
      <c r="FL38" s="762">
        <f t="shared" si="163"/>
        <v>0</v>
      </c>
      <c r="FM38" s="762">
        <f t="shared" si="137"/>
        <v>0</v>
      </c>
      <c r="FN38" s="665">
        <f t="shared" si="164"/>
        <v>0</v>
      </c>
      <c r="FO38" s="665">
        <f t="shared" si="182"/>
        <v>0</v>
      </c>
      <c r="FP38" s="762">
        <f t="shared" si="139"/>
        <v>0</v>
      </c>
      <c r="FQ38" s="316">
        <f t="shared" si="140"/>
        <v>0</v>
      </c>
      <c r="FR38" s="13">
        <f t="shared" si="141"/>
        <v>18</v>
      </c>
      <c r="FS38" s="290">
        <f t="shared" si="165"/>
        <v>0</v>
      </c>
      <c r="FT38" s="1192">
        <f t="shared" si="187"/>
        <v>0</v>
      </c>
      <c r="FU38" s="1192"/>
      <c r="FV38" s="1192"/>
      <c r="FW38" s="1192"/>
      <c r="FX38" s="737">
        <f t="shared" si="143"/>
        <v>4.8999999999999997E-7</v>
      </c>
      <c r="FY38" s="1114">
        <f t="shared" si="176"/>
        <v>4.8999999999999997E-7</v>
      </c>
      <c r="FZ38" s="1114"/>
      <c r="GA38" s="1114"/>
      <c r="GB38" s="1114"/>
      <c r="GC38" s="1114"/>
      <c r="GD38"/>
      <c r="GE38"/>
      <c r="GF38"/>
      <c r="GG38"/>
      <c r="GH38" s="290"/>
      <c r="GJ38" s="290"/>
      <c r="GW38" s="1144"/>
      <c r="GX38" s="230" t="str">
        <f>IF($N$36="","",IF($IW$38=$GX$3,$IX$38,IF(AND($H$38=$GX$3,$L$38&lt;&gt;""),$L$38,IF(AND($H$38=$GX$3,$L$38=""),$M$38,""))))</f>
        <v/>
      </c>
      <c r="GY38" s="301">
        <v>54</v>
      </c>
      <c r="GZ38" s="5" t="str">
        <f t="shared" si="105"/>
        <v/>
      </c>
      <c r="HA38" s="95" t="str">
        <f t="shared" si="62"/>
        <v/>
      </c>
      <c r="HB38" s="5"/>
      <c r="HC38" s="95" t="str">
        <f t="shared" si="106"/>
        <v/>
      </c>
      <c r="HG38" s="1144"/>
      <c r="HH38" s="230" t="str">
        <f>IF($N$36="","",IF($IW$38=$HH$3,$IX$38,IF(AND($H$38=$HH$3,$L$38&lt;&gt;""),$L$38,IF(AND($H$38=$HH$3,$L$38=""),$M$38,""))))</f>
        <v/>
      </c>
      <c r="HI38" s="301">
        <v>54</v>
      </c>
      <c r="HJ38" s="5" t="str">
        <f t="shared" si="107"/>
        <v/>
      </c>
      <c r="HK38" s="95" t="str">
        <f t="shared" si="63"/>
        <v/>
      </c>
      <c r="HL38" s="5"/>
      <c r="HM38" s="95" t="str">
        <f t="shared" si="64"/>
        <v/>
      </c>
      <c r="HN38" s="1149"/>
      <c r="HO38" s="131" t="str">
        <f>IF($H33="",$D33,$H33)</f>
        <v>Dimitry Khomitsevich</v>
      </c>
      <c r="HP38" s="884" t="str">
        <f>M33</f>
        <v/>
      </c>
      <c r="HQ38" s="327" t="str">
        <f>IF($L33="","",$L33)</f>
        <v/>
      </c>
      <c r="HR38" s="327">
        <v>0.03</v>
      </c>
      <c r="HS38" s="458" t="str">
        <f t="shared" si="144"/>
        <v/>
      </c>
      <c r="HT38" s="327" t="e">
        <f>RANK(HS38,HS37:HS40)+COUNTIF(HS37:HS38,HS38)-1</f>
        <v>#VALUE!</v>
      </c>
      <c r="HU38" s="327" t="str">
        <f>IF(HQ38="",HO38,HO38&amp;" ("&amp;HQ38&amp;")")</f>
        <v>Dimitry Khomitsevich</v>
      </c>
      <c r="HV38" s="328">
        <v>2</v>
      </c>
      <c r="HW38" s="337" t="str">
        <f>IF(N32="","",VLOOKUP(HV38,HT37:HU40,2,FALSE))</f>
        <v/>
      </c>
      <c r="HX38" s="1149"/>
      <c r="HY38" s="131" t="str">
        <f>IF($W33="",$S33,$W33)</f>
        <v>Daniil Ivanov</v>
      </c>
      <c r="HZ38" s="327" t="str">
        <f>AB33</f>
        <v/>
      </c>
      <c r="IA38" s="327" t="str">
        <f>IF($AA33="","",$AA33)</f>
        <v/>
      </c>
      <c r="IB38" s="327">
        <v>0.03</v>
      </c>
      <c r="IC38" s="458" t="str">
        <f t="shared" si="145"/>
        <v/>
      </c>
      <c r="ID38" s="327" t="e">
        <f>RANK(IC38,IC37:IC40)+COUNTIF(IC37:IC38,IC38)-1</f>
        <v>#VALUE!</v>
      </c>
      <c r="IE38" s="327" t="str">
        <f>IF(IA38="",HY38,HY38&amp;" ("&amp;IA38&amp;")")</f>
        <v>Daniil Ivanov</v>
      </c>
      <c r="IF38" s="344">
        <v>2</v>
      </c>
      <c r="IG38" s="337" t="str">
        <f>IF(AC32="","",VLOOKUP(IF38,ID37:IE40,2,FALSE))</f>
        <v/>
      </c>
      <c r="IH38" s="1147"/>
      <c r="II38" s="361" t="str">
        <f>IF($AL33="",$AH33,$AL33)</f>
        <v/>
      </c>
      <c r="IJ38" s="327" t="str">
        <f>AQ33</f>
        <v/>
      </c>
      <c r="IK38" s="327" t="str">
        <f>IF($AP33="","",$AP33)</f>
        <v/>
      </c>
      <c r="IL38" s="327">
        <v>0.03</v>
      </c>
      <c r="IM38" s="327" t="str">
        <f>IF(IK38&lt;&gt;"",-1,IJ38)</f>
        <v/>
      </c>
      <c r="IN38" s="327" t="e">
        <f>RANK(IM38,IM37:IM40)+COUNTIF(IM37:IM38,IM38)-1</f>
        <v>#VALUE!</v>
      </c>
      <c r="IO38" s="327" t="str">
        <f>IF(IK38="",II38,II38&amp;" ("&amp;IK38&amp;")")</f>
        <v/>
      </c>
      <c r="IP38" s="344">
        <v>2</v>
      </c>
      <c r="IQ38" s="337" t="str">
        <f>IF($AQ$35="","",VLOOKUP($IP38,$IN$37:$IO$40,2,FALSE))</f>
        <v/>
      </c>
      <c r="IU38" s="1112"/>
      <c r="IV38" s="701"/>
      <c r="IW38" s="699" t="str">
        <f t="shared" si="68"/>
        <v/>
      </c>
      <c r="IX38" s="700"/>
      <c r="IZ38" s="1112"/>
      <c r="JA38" s="701"/>
      <c r="JB38" s="699" t="str">
        <f t="shared" si="69"/>
        <v/>
      </c>
      <c r="JC38" s="700"/>
      <c r="JE38" s="705"/>
      <c r="JF38" s="705"/>
      <c r="JG38" s="705"/>
      <c r="JH38" s="705"/>
      <c r="JI38" s="705"/>
      <c r="JJ38" s="1335"/>
      <c r="JK38" s="876">
        <v>54</v>
      </c>
      <c r="JL38" s="879" t="str">
        <f t="shared" si="108"/>
        <v/>
      </c>
      <c r="JM38" s="655" t="str">
        <f t="shared" si="71"/>
        <v/>
      </c>
      <c r="JN38" s="869" t="str">
        <f>IF($N$36="","",IF(AND($D$38=JL$11,$F$38&lt;&gt;""),$F$38,IF(AND($D$38=JL$11,$L$38&lt;&gt;""),$L$38,IF($D$38=JL$11,$M$38,""))))</f>
        <v/>
      </c>
      <c r="JO38" s="879" t="str">
        <f t="shared" si="109"/>
        <v/>
      </c>
      <c r="JP38" s="655" t="str">
        <f t="shared" si="72"/>
        <v/>
      </c>
      <c r="JQ38" s="869" t="str">
        <f>IF($N$36="","",IF(AND($D$38=JO$11,$F$38&lt;&gt;""),$F$38,IF(AND($D$38=JO$11,$L$38&lt;&gt;""),$L$38,IF($D$38=JO$11,$M$38,""))))</f>
        <v/>
      </c>
      <c r="JR38" s="879" t="str">
        <f t="shared" si="73"/>
        <v/>
      </c>
      <c r="JS38" s="655" t="str">
        <f t="shared" si="74"/>
        <v/>
      </c>
      <c r="JT38" s="869" t="str">
        <f>IF($N$36="","",IF(AND($D$38=JR$11,$F$38&lt;&gt;""),$F$38,IF(AND($D$38=JR$11,$L$38&lt;&gt;""),$L$38,IF($D$38=JR$11,$M$38,""))))</f>
        <v/>
      </c>
      <c r="JU38" s="879" t="str">
        <f t="shared" si="75"/>
        <v/>
      </c>
      <c r="JV38" s="655" t="str">
        <f t="shared" si="76"/>
        <v/>
      </c>
      <c r="JW38" s="869" t="str">
        <f>IF($N$36="","",IF(AND($D$38=JU$11,$F$38&lt;&gt;""),$F$38,IF(AND($D$38=JU$11,$L$38&lt;&gt;""),$L$38,IF($D$38=JU$11,$M$38,""))))</f>
        <v/>
      </c>
      <c r="JX38" s="879" t="str">
        <f t="shared" si="77"/>
        <v/>
      </c>
      <c r="JY38" s="655" t="str">
        <f t="shared" si="78"/>
        <v/>
      </c>
      <c r="JZ38" s="869" t="str">
        <f>IF($N$36="","",IF(AND($D$38=JX$11,$F$38&lt;&gt;""),$F$38,IF(AND($D$38=JX$11,$L$38&lt;&gt;""),$L$38,IF($D$38=JX$11,$M$38,""))))</f>
        <v/>
      </c>
      <c r="KA38" s="879" t="str">
        <f t="shared" si="79"/>
        <v/>
      </c>
      <c r="KB38" s="655" t="str">
        <f t="shared" si="80"/>
        <v/>
      </c>
      <c r="KC38" s="869" t="str">
        <f>IF($N$36="","",IF(AND($D$38=KA$11,$F$38&lt;&gt;""),$F$38,IF(AND($D$38=KA$11,$L$38&lt;&gt;""),$L$38,IF($D$38=KA$11,$M$38,""))))</f>
        <v/>
      </c>
      <c r="KD38" s="879" t="str">
        <f t="shared" si="81"/>
        <v/>
      </c>
      <c r="KE38" s="655" t="str">
        <f t="shared" si="82"/>
        <v/>
      </c>
      <c r="KF38" s="869" t="str">
        <f>IF($N$36="","",IF(AND($D$38=KD$11,$F$38&lt;&gt;""),$F$38,IF(AND($D$38=KD$11,$L$38&lt;&gt;""),$L$38,IF($D$38=KD$11,$M$38,""))))</f>
        <v/>
      </c>
      <c r="KG38" s="879" t="str">
        <f t="shared" si="83"/>
        <v/>
      </c>
      <c r="KH38" s="655" t="str">
        <f t="shared" si="84"/>
        <v/>
      </c>
      <c r="KI38" s="869" t="str">
        <f>IF($N$36="","",IF(AND($D$38=KG$11,$F$38&lt;&gt;""),$F$38,IF(AND($D$38=KG$11,$L$38&lt;&gt;""),$L$38,IF($D$38=KG$11,$M$38,""))))</f>
        <v/>
      </c>
      <c r="KJ38" s="879" t="str">
        <f t="shared" si="85"/>
        <v/>
      </c>
      <c r="KK38" s="655" t="str">
        <f t="shared" si="86"/>
        <v/>
      </c>
      <c r="KL38" s="869" t="str">
        <f>IF($N$36="","",IF(AND($D$38=KJ$11,$F$38&lt;&gt;""),$F$38,IF(AND($D$38=KJ$11,$L$38&lt;&gt;""),$L$38,IF($D$38=KJ$11,$M$38,""))))</f>
        <v/>
      </c>
      <c r="KM38" s="879" t="str">
        <f t="shared" si="87"/>
        <v/>
      </c>
      <c r="KN38" s="655" t="str">
        <f t="shared" si="88"/>
        <v/>
      </c>
      <c r="KO38" s="869" t="str">
        <f>IF($N$36="","",IF(AND($D$38=KM$11,$F$38&lt;&gt;""),$F$38,IF(AND($D$38=KM$11,$L$38&lt;&gt;""),$L$38,IF($D$38=KM$11,$M$38,""))))</f>
        <v/>
      </c>
      <c r="KP38" s="879" t="str">
        <f t="shared" si="89"/>
        <v/>
      </c>
      <c r="KQ38" s="655" t="str">
        <f t="shared" si="90"/>
        <v/>
      </c>
      <c r="KR38" s="869" t="str">
        <f>IF($N$36="","",IF(AND($D$38=KP$11,$F$38&lt;&gt;""),$F$38,IF(AND($D$38=KP$11,$L$38&lt;&gt;""),$L$38,IF($D$38=KP$11,$M$38,""))))</f>
        <v/>
      </c>
      <c r="KS38" s="879" t="str">
        <f t="shared" si="91"/>
        <v/>
      </c>
      <c r="KT38" s="655" t="str">
        <f t="shared" si="92"/>
        <v/>
      </c>
      <c r="KU38" s="869" t="str">
        <f>IF($N$36="","",IF(AND($D$38=KS$11,$F$38&lt;&gt;""),$F$38,IF(AND($D$38=KS$11,$L$38&lt;&gt;""),$L$38,IF($D$38=KS$11,$M$38,""))))</f>
        <v/>
      </c>
      <c r="KV38" s="879" t="str">
        <f t="shared" si="93"/>
        <v/>
      </c>
      <c r="KW38" s="655" t="str">
        <f t="shared" si="94"/>
        <v/>
      </c>
      <c r="KX38" s="869" t="str">
        <f>IF($N$36="","",IF(AND($D$38=KV$11,$F$38&lt;&gt;""),$F$38,IF(AND($D$38=KV$11,$L$38&lt;&gt;""),$L$38,IF($D$38=KV$11,$M$38,""))))</f>
        <v/>
      </c>
      <c r="KY38" s="879" t="str">
        <f t="shared" si="95"/>
        <v/>
      </c>
      <c r="KZ38" s="655" t="str">
        <f t="shared" si="96"/>
        <v/>
      </c>
      <c r="LA38" s="869" t="str">
        <f>IF($N$36="","",IF(AND($D$38=KY$11,$F$38&lt;&gt;""),$F$38,IF(AND($D$38=KY$11,$L$38&lt;&gt;""),$L$38,IF($D$38=KY$11,$M$38,""))))</f>
        <v/>
      </c>
      <c r="LB38" s="879" t="str">
        <f t="shared" si="97"/>
        <v/>
      </c>
      <c r="LC38" s="655" t="str">
        <f t="shared" si="98"/>
        <v/>
      </c>
      <c r="LD38" s="869" t="str">
        <f>IF($N$36="","",IF(AND($D$38=LB$11,$F$38&lt;&gt;""),$F$38,IF(AND($D$38=LB$11,$L$38&lt;&gt;""),$L$38,IF($D$38=LB$11,$M$38,""))))</f>
        <v/>
      </c>
      <c r="LE38" s="879" t="str">
        <f t="shared" si="99"/>
        <v/>
      </c>
      <c r="LF38" s="655" t="str">
        <f t="shared" si="100"/>
        <v/>
      </c>
      <c r="LG38" s="869" t="str">
        <f>IF($N$36="","",IF(AND($D$38=LE$11,$F$38&lt;&gt;""),$F$38,IF(AND($D$38=LE$11,$L$38&lt;&gt;""),$L$38,IF($D$38=LE$11,$M$38,""))))</f>
        <v/>
      </c>
      <c r="LH38"/>
      <c r="LI38"/>
      <c r="LJ38"/>
      <c r="LK38"/>
      <c r="LL38"/>
      <c r="LM38"/>
    </row>
    <row r="39" spans="1:325" ht="12.75" customHeight="1" thickBot="1">
      <c r="A39" s="918"/>
      <c r="B39" s="331">
        <v>8</v>
      </c>
      <c r="C39" s="103">
        <f t="shared" si="101"/>
        <v>7</v>
      </c>
      <c r="D39" s="519" t="str">
        <f t="shared" si="102"/>
        <v>Gunter Bauer</v>
      </c>
      <c r="E39" s="1013"/>
      <c r="F39" s="1017" t="str">
        <f t="shared" si="47"/>
        <v/>
      </c>
      <c r="G39" s="547"/>
      <c r="H39" s="1197" t="str">
        <f t="shared" si="48"/>
        <v/>
      </c>
      <c r="I39" s="1197"/>
      <c r="J39" s="1197"/>
      <c r="K39" s="1197"/>
      <c r="L39" s="511"/>
      <c r="M39" s="149" t="str">
        <f>IF(N36="","",IF(N36="y",3,IF(N37="y",2,IF(N38="y",1,IF(N39="y",0,0)))))</f>
        <v/>
      </c>
      <c r="N39" s="708"/>
      <c r="O39" s="268"/>
      <c r="P39" s="918"/>
      <c r="Q39" s="331">
        <v>4</v>
      </c>
      <c r="R39" s="103">
        <f t="shared" si="49"/>
        <v>6</v>
      </c>
      <c r="S39" s="519" t="str">
        <f t="shared" si="50"/>
        <v>Jan Klatovsky</v>
      </c>
      <c r="T39" s="1012"/>
      <c r="U39" s="1016" t="str">
        <f t="shared" si="172"/>
        <v/>
      </c>
      <c r="V39" s="546"/>
      <c r="W39" s="1197" t="str">
        <f t="shared" si="52"/>
        <v/>
      </c>
      <c r="X39" s="1197"/>
      <c r="Y39" s="1197"/>
      <c r="Z39" s="1197"/>
      <c r="AA39" s="511"/>
      <c r="AB39" s="149" t="str">
        <f>IF(AC36="","",IF(AC36="y",3,IF(AC37="y",2,IF(AC38="y",1,IF(AC39="y",0,0)))))</f>
        <v/>
      </c>
      <c r="AC39" s="725"/>
      <c r="AD39" s="269"/>
      <c r="AE39" s="918"/>
      <c r="AF39" s="103"/>
      <c r="AG39" s="103" t="str">
        <f t="shared" si="173"/>
        <v/>
      </c>
      <c r="AH39" s="520" t="str">
        <f>IF(AW36="Y",AV36,IF(AW37="Y",AV37,IF(AW38="Y",AV38,IF(AW39="Y",AV39,""))))</f>
        <v/>
      </c>
      <c r="AI39" s="523"/>
      <c r="AJ39" s="523"/>
      <c r="AK39" s="532"/>
      <c r="AL39" s="1213"/>
      <c r="AM39" s="1213"/>
      <c r="AN39" s="1213"/>
      <c r="AO39" s="1213"/>
      <c r="AP39" s="509"/>
      <c r="AQ39" s="149" t="str">
        <f>IF(AR36="","",IF(AR36="y",3,IF(AR37="y",2,IF(AR38="y",1,IF(AR39="y",0,0)))))</f>
        <v/>
      </c>
      <c r="AR39" s="725"/>
      <c r="AS39" s="269"/>
      <c r="AT39" s="290"/>
      <c r="AU39" s="290"/>
      <c r="AV39" s="455" t="str">
        <f>IF(AQ$27="","",IF(AY39&lt;&gt;"",AZ39,AV19))</f>
        <v/>
      </c>
      <c r="AW39" s="725"/>
      <c r="AX39" s="268"/>
      <c r="AY39" s="927"/>
      <c r="AZ39" s="1093" t="str">
        <f t="shared" si="177"/>
        <v/>
      </c>
      <c r="BA39" s="1094"/>
      <c r="BB39" s="1094"/>
      <c r="BC39" s="1094"/>
      <c r="BD39" s="1095"/>
      <c r="BO39" s="8" t="str">
        <f>$M39</f>
        <v/>
      </c>
      <c r="BT39" s="8" t="str">
        <f>$AB39</f>
        <v/>
      </c>
      <c r="BY39" s="8" t="str">
        <f>$AQ39</f>
        <v/>
      </c>
      <c r="CA39" s="762"/>
      <c r="CB39" s="13">
        <v>4</v>
      </c>
      <c r="CG39" s="13">
        <v>13</v>
      </c>
      <c r="CH39" s="13" t="str">
        <f t="shared" si="146"/>
        <v>Antonin Klatovsky</v>
      </c>
      <c r="CI39" s="770">
        <f t="shared" si="111"/>
        <v>0</v>
      </c>
      <c r="CU39" s="13">
        <f t="shared" si="147"/>
        <v>18</v>
      </c>
      <c r="CV39" s="13">
        <f t="shared" si="112"/>
        <v>19</v>
      </c>
      <c r="CW39" s="13" t="str">
        <f t="shared" si="112"/>
        <v>Daniel Henderson</v>
      </c>
      <c r="CX39" s="13" t="str">
        <f t="shared" si="112"/>
        <v/>
      </c>
      <c r="CY39" s="13" t="str">
        <f t="shared" si="112"/>
        <v/>
      </c>
      <c r="CZ39" s="13" t="str">
        <f t="shared" si="112"/>
        <v/>
      </c>
      <c r="DA39" s="13" t="str">
        <f t="shared" si="112"/>
        <v/>
      </c>
      <c r="DC39" s="13">
        <f t="shared" si="148"/>
        <v>0</v>
      </c>
      <c r="DD39" s="243">
        <f t="shared" si="113"/>
        <v>0</v>
      </c>
      <c r="DE39" s="236">
        <f t="shared" si="149"/>
        <v>0</v>
      </c>
      <c r="DF39" s="232">
        <f t="shared" si="114"/>
        <v>0</v>
      </c>
      <c r="DG39" s="234">
        <f t="shared" si="150"/>
        <v>0</v>
      </c>
      <c r="DH39" s="232">
        <f t="shared" si="115"/>
        <v>0</v>
      </c>
      <c r="DI39" s="41">
        <f t="shared" si="151"/>
        <v>0</v>
      </c>
      <c r="DJ39" s="271">
        <f t="shared" si="116"/>
        <v>0</v>
      </c>
      <c r="DK39" s="273">
        <f t="shared" si="117"/>
        <v>0</v>
      </c>
      <c r="DL39" s="281">
        <f t="shared" si="118"/>
        <v>0</v>
      </c>
      <c r="DM39" s="239">
        <f t="shared" si="119"/>
        <v>4.0999999999999999E-7</v>
      </c>
      <c r="DN39" s="285">
        <f t="shared" si="120"/>
        <v>0</v>
      </c>
      <c r="DO39" s="285">
        <f t="shared" si="121"/>
        <v>0</v>
      </c>
      <c r="DP39" s="285">
        <f t="shared" si="122"/>
        <v>4.0999999999999999E-7</v>
      </c>
      <c r="DQ39" s="597"/>
      <c r="DR39" s="205">
        <f t="shared" si="152"/>
        <v>19</v>
      </c>
      <c r="DS39" s="4">
        <f t="shared" si="166"/>
        <v>19</v>
      </c>
      <c r="DT39" s="4">
        <f t="shared" si="168"/>
        <v>19</v>
      </c>
      <c r="DU39" s="4">
        <f t="shared" si="170"/>
        <v>19</v>
      </c>
      <c r="DV39" s="4">
        <f t="shared" si="174"/>
        <v>19</v>
      </c>
      <c r="DW39" s="4">
        <f t="shared" si="178"/>
        <v>19</v>
      </c>
      <c r="DX39" s="4">
        <f t="shared" si="180"/>
        <v>19</v>
      </c>
      <c r="DY39" s="4">
        <f t="shared" si="183"/>
        <v>19</v>
      </c>
      <c r="DZ39" s="4">
        <f t="shared" si="185"/>
        <v>19</v>
      </c>
      <c r="EA39" s="4">
        <f t="shared" si="188"/>
        <v>19</v>
      </c>
      <c r="EB39" s="4">
        <f>IF($FO39=$FO$37,$CV15,"")</f>
        <v>19</v>
      </c>
      <c r="EC39" s="4">
        <f>IF($FO39=$FO$38,$CV15,"")</f>
        <v>19</v>
      </c>
      <c r="ED39" s="208"/>
      <c r="EE39" s="4">
        <f t="shared" si="130"/>
        <v>19</v>
      </c>
      <c r="EF39" s="4">
        <f t="shared" si="131"/>
        <v>19</v>
      </c>
      <c r="EG39" s="225">
        <f t="shared" si="132"/>
        <v>19</v>
      </c>
      <c r="EH39" s="215">
        <f>$AG$6</f>
        <v>19</v>
      </c>
      <c r="EI39" s="205" t="b">
        <f>IF(DR$39="","",FT$15)</f>
        <v>0</v>
      </c>
      <c r="EJ39" s="4" t="b">
        <f t="shared" ref="EJ39:EX39" si="191">IF(DS$39="","",FU$15)</f>
        <v>0</v>
      </c>
      <c r="EK39" s="4" t="b">
        <f t="shared" si="191"/>
        <v>0</v>
      </c>
      <c r="EL39" s="4" t="b">
        <f t="shared" si="191"/>
        <v>0</v>
      </c>
      <c r="EM39" s="4" t="b">
        <f t="shared" si="191"/>
        <v>0</v>
      </c>
      <c r="EN39" s="4" t="b">
        <f t="shared" si="191"/>
        <v>0</v>
      </c>
      <c r="EO39" s="4" t="b">
        <f t="shared" si="191"/>
        <v>0</v>
      </c>
      <c r="EP39" s="4" t="b">
        <f t="shared" si="191"/>
        <v>0</v>
      </c>
      <c r="EQ39" s="4" t="b">
        <f t="shared" si="191"/>
        <v>0</v>
      </c>
      <c r="ER39" s="4" t="b">
        <f t="shared" si="191"/>
        <v>0</v>
      </c>
      <c r="ES39" s="4" t="b">
        <f t="shared" si="191"/>
        <v>0</v>
      </c>
      <c r="ET39" s="4" t="b">
        <f t="shared" si="191"/>
        <v>0</v>
      </c>
      <c r="EU39" s="208"/>
      <c r="EV39" s="4" t="b">
        <f t="shared" si="191"/>
        <v>0</v>
      </c>
      <c r="EW39" s="4" t="b">
        <f t="shared" si="191"/>
        <v>0</v>
      </c>
      <c r="EX39" s="225" t="b">
        <f t="shared" si="191"/>
        <v>0</v>
      </c>
      <c r="EY39" s="230">
        <f t="shared" si="154"/>
        <v>0</v>
      </c>
      <c r="EZ39" s="13">
        <f t="shared" si="134"/>
        <v>18</v>
      </c>
      <c r="FA39" s="657">
        <f t="shared" si="135"/>
        <v>19</v>
      </c>
      <c r="FB39" s="654" t="str">
        <f t="shared" si="135"/>
        <v>Daniel Henderson</v>
      </c>
      <c r="FC39" s="655">
        <f t="shared" si="155"/>
        <v>0</v>
      </c>
      <c r="FD39" s="655">
        <f t="shared" si="156"/>
        <v>0</v>
      </c>
      <c r="FE39" s="655">
        <f t="shared" si="157"/>
        <v>0</v>
      </c>
      <c r="FF39" s="655">
        <f t="shared" si="158"/>
        <v>0</v>
      </c>
      <c r="FG39" s="658">
        <f t="shared" si="136"/>
        <v>0</v>
      </c>
      <c r="FH39" s="734">
        <f t="shared" si="159"/>
        <v>0</v>
      </c>
      <c r="FI39" s="738">
        <f t="shared" si="160"/>
        <v>0</v>
      </c>
      <c r="FJ39" s="735">
        <f t="shared" si="161"/>
        <v>0</v>
      </c>
      <c r="FK39" s="176">
        <f t="shared" si="162"/>
        <v>0</v>
      </c>
      <c r="FL39" s="176">
        <f t="shared" si="163"/>
        <v>0</v>
      </c>
      <c r="FM39" s="176">
        <f t="shared" si="137"/>
        <v>0</v>
      </c>
      <c r="FN39" s="736">
        <f t="shared" si="164"/>
        <v>0</v>
      </c>
      <c r="FO39" s="736">
        <f t="shared" si="182"/>
        <v>0</v>
      </c>
      <c r="FP39" s="762">
        <f t="shared" si="139"/>
        <v>0</v>
      </c>
      <c r="FQ39" s="316">
        <f t="shared" si="140"/>
        <v>0</v>
      </c>
      <c r="FR39" s="13">
        <f t="shared" si="141"/>
        <v>18</v>
      </c>
      <c r="FS39" s="290">
        <f t="shared" si="165"/>
        <v>0</v>
      </c>
      <c r="FT39" s="1192">
        <f t="shared" si="187"/>
        <v>0</v>
      </c>
      <c r="FU39" s="1192"/>
      <c r="FV39" s="1192"/>
      <c r="FW39" s="1192"/>
      <c r="FX39" s="737">
        <f t="shared" si="143"/>
        <v>4.0999999999999999E-7</v>
      </c>
      <c r="FY39" s="1114">
        <f t="shared" si="176"/>
        <v>4.0999999999999999E-7</v>
      </c>
      <c r="FZ39" s="1114"/>
      <c r="GA39" s="1114"/>
      <c r="GB39" s="1114"/>
      <c r="GC39" s="1114"/>
      <c r="GD39"/>
      <c r="GE39"/>
      <c r="GF39"/>
      <c r="GG39"/>
      <c r="GH39" s="290"/>
      <c r="GJ39" s="290"/>
      <c r="GW39" s="1145"/>
      <c r="GX39" s="231" t="str">
        <f>IF($N$36="","",IF($IW$39=$GX$3,$IX$39,IF(AND($H$39=$GX$3,$L$39&lt;&gt;""),$L$39,IF(AND($H$39=$GX$3,$L$39=""),$M$39,""))))</f>
        <v/>
      </c>
      <c r="GY39" s="302">
        <v>53</v>
      </c>
      <c r="GZ39" s="303" t="str">
        <f t="shared" si="105"/>
        <v/>
      </c>
      <c r="HA39" s="98" t="str">
        <f t="shared" si="62"/>
        <v/>
      </c>
      <c r="HB39" s="303"/>
      <c r="HC39" s="98" t="str">
        <f t="shared" si="106"/>
        <v/>
      </c>
      <c r="HG39" s="1145"/>
      <c r="HH39" s="231" t="str">
        <f>IF($N$36="","",IF($IW$39=$HH$3,$IX$39,IF(AND($H$39=$HH$3,$L$39&lt;&gt;""),$L$39,IF(AND($H$39=$HH$3,$L$39=""),$M$39,""))))</f>
        <v/>
      </c>
      <c r="HI39" s="302">
        <v>53</v>
      </c>
      <c r="HJ39" s="303" t="str">
        <f t="shared" si="107"/>
        <v/>
      </c>
      <c r="HK39" s="98" t="str">
        <f t="shared" si="63"/>
        <v/>
      </c>
      <c r="HL39" s="303"/>
      <c r="HM39" s="98" t="str">
        <f t="shared" si="64"/>
        <v/>
      </c>
      <c r="HN39" s="1149"/>
      <c r="HO39" s="131" t="str">
        <f>IF($H34="",$D34,$H34)</f>
        <v>Rene Stellingwerf</v>
      </c>
      <c r="HP39" s="884" t="str">
        <f>M34</f>
        <v/>
      </c>
      <c r="HQ39" s="327" t="str">
        <f>IF($L34="","",$L34)</f>
        <v/>
      </c>
      <c r="HR39" s="327">
        <v>0.02</v>
      </c>
      <c r="HS39" s="458" t="str">
        <f t="shared" si="144"/>
        <v/>
      </c>
      <c r="HT39" s="327" t="e">
        <f>RANK(HS39,HS37:HS40)+COUNTIF(HS37:HS39,HS39)-1</f>
        <v>#VALUE!</v>
      </c>
      <c r="HU39" s="327" t="str">
        <f>IF(HQ39="",HO39,HO39&amp;" ("&amp;HQ39&amp;")")</f>
        <v>Rene Stellingwerf</v>
      </c>
      <c r="HV39" s="328">
        <v>3</v>
      </c>
      <c r="HW39" s="337" t="str">
        <f>IF(N32="","",VLOOKUP(HV39,HT37:HU40,2,FALSE))</f>
        <v/>
      </c>
      <c r="HX39" s="1149"/>
      <c r="HY39" s="131" t="str">
        <f>IF($W34="",$S34,$W34)</f>
        <v>Per-Anders Lindstrom</v>
      </c>
      <c r="HZ39" s="327" t="str">
        <f>AB34</f>
        <v/>
      </c>
      <c r="IA39" s="327" t="str">
        <f>IF($AA34="","",$AA34)</f>
        <v/>
      </c>
      <c r="IB39" s="327">
        <v>0.02</v>
      </c>
      <c r="IC39" s="458" t="str">
        <f t="shared" si="145"/>
        <v/>
      </c>
      <c r="ID39" s="327" t="e">
        <f>RANK(IC39,IC37:IC40)+COUNTIF(IC37:IC39,IC39)-1</f>
        <v>#VALUE!</v>
      </c>
      <c r="IE39" s="327" t="str">
        <f>IF(IA39="",HY39,HY39&amp;" ("&amp;IA39&amp;")")</f>
        <v>Per-Anders Lindstrom</v>
      </c>
      <c r="IF39" s="344">
        <v>3</v>
      </c>
      <c r="IG39" s="337" t="str">
        <f>IF(AC32="","",VLOOKUP(IF39,ID37:IE40,2,FALSE))</f>
        <v/>
      </c>
      <c r="IH39" s="1147"/>
      <c r="II39" s="361" t="str">
        <f>IF($AL34="",$AH34,$AL34)</f>
        <v/>
      </c>
      <c r="IJ39" s="327" t="str">
        <f>AQ34</f>
        <v/>
      </c>
      <c r="IK39" s="327" t="str">
        <f>IF($AP34="","",$AP34)</f>
        <v/>
      </c>
      <c r="IL39" s="327">
        <v>0.02</v>
      </c>
      <c r="IM39" s="327" t="str">
        <f>IF(IK39&lt;&gt;"",-1,IJ39)</f>
        <v/>
      </c>
      <c r="IN39" s="327" t="e">
        <f>RANK(IM39,IM37:IM40)+COUNTIF(IM37:IM39,IM39)-1</f>
        <v>#VALUE!</v>
      </c>
      <c r="IO39" s="327" t="str">
        <f>IF(IK39="",II39,II39&amp;" ("&amp;IK39&amp;")")</f>
        <v/>
      </c>
      <c r="IP39" s="344">
        <v>3</v>
      </c>
      <c r="IQ39" s="337" t="str">
        <f>IF($AQ$35="","",VLOOKUP($IP39,$IN$37:$IO$40,2,FALSE))</f>
        <v/>
      </c>
      <c r="IU39" s="1113"/>
      <c r="IV39" s="702"/>
      <c r="IW39" s="703" t="str">
        <f t="shared" si="68"/>
        <v/>
      </c>
      <c r="IX39" s="704"/>
      <c r="IZ39" s="1113"/>
      <c r="JA39" s="702"/>
      <c r="JB39" s="703" t="str">
        <f t="shared" si="69"/>
        <v/>
      </c>
      <c r="JC39" s="704"/>
      <c r="JE39" s="705"/>
      <c r="JF39" s="705"/>
      <c r="JG39" s="705"/>
      <c r="JH39" s="705"/>
      <c r="JI39" s="705"/>
      <c r="JJ39" s="1336"/>
      <c r="JK39" s="877">
        <v>53</v>
      </c>
      <c r="JL39" s="880" t="str">
        <f t="shared" si="108"/>
        <v/>
      </c>
      <c r="JM39" s="874" t="str">
        <f t="shared" si="71"/>
        <v/>
      </c>
      <c r="JN39" s="870" t="str">
        <f>IF($N$36="","",IF(AND($D$39=JL$11,$F$39&lt;&gt;""),$F$39,IF(AND($D$39=JL$11,$L$39&lt;&gt;""),$L$39,IF($D$39=JL$11,$M$39,""))))</f>
        <v/>
      </c>
      <c r="JO39" s="880" t="str">
        <f t="shared" si="109"/>
        <v/>
      </c>
      <c r="JP39" s="874" t="str">
        <f t="shared" si="72"/>
        <v/>
      </c>
      <c r="JQ39" s="870" t="str">
        <f>IF($N$36="","",IF(AND($D$39=JO$11,$F$39&lt;&gt;""),$F$39,IF(AND($D$39=JO$11,$L$39&lt;&gt;""),$L$39,IF($D$39=JO$11,$M$39,""))))</f>
        <v/>
      </c>
      <c r="JR39" s="880" t="str">
        <f t="shared" si="73"/>
        <v/>
      </c>
      <c r="JS39" s="874" t="str">
        <f t="shared" si="74"/>
        <v/>
      </c>
      <c r="JT39" s="870" t="str">
        <f>IF($N$36="","",IF(AND($D$39=JR$11,$F$39&lt;&gt;""),$F$39,IF(AND($D$39=JR$11,$L$39&lt;&gt;""),$L$39,IF($D$39=JR$11,$M$39,""))))</f>
        <v/>
      </c>
      <c r="JU39" s="880" t="str">
        <f t="shared" si="75"/>
        <v/>
      </c>
      <c r="JV39" s="874" t="str">
        <f t="shared" si="76"/>
        <v/>
      </c>
      <c r="JW39" s="870" t="str">
        <f>IF($N$36="","",IF(AND($D$39=JU$11,$F$39&lt;&gt;""),$F$39,IF(AND($D$39=JU$11,$L$39&lt;&gt;""),$L$39,IF($D$39=JU$11,$M$39,""))))</f>
        <v/>
      </c>
      <c r="JX39" s="880" t="str">
        <f t="shared" si="77"/>
        <v/>
      </c>
      <c r="JY39" s="874" t="str">
        <f t="shared" si="78"/>
        <v/>
      </c>
      <c r="JZ39" s="870" t="str">
        <f>IF($N$36="","",IF(AND($D$39=JX$11,$F$39&lt;&gt;""),$F$39,IF(AND($D$39=JX$11,$L$39&lt;&gt;""),$L$39,IF($D$39=JX$11,$M$39,""))))</f>
        <v/>
      </c>
      <c r="KA39" s="880" t="str">
        <f t="shared" si="79"/>
        <v/>
      </c>
      <c r="KB39" s="874" t="str">
        <f t="shared" si="80"/>
        <v/>
      </c>
      <c r="KC39" s="870" t="str">
        <f>IF($N$36="","",IF(AND($D$39=KA$11,$F$39&lt;&gt;""),$F$39,IF(AND($D$39=KA$11,$L$39&lt;&gt;""),$L$39,IF($D$39=KA$11,$M$39,""))))</f>
        <v/>
      </c>
      <c r="KD39" s="880" t="str">
        <f t="shared" si="81"/>
        <v/>
      </c>
      <c r="KE39" s="874" t="str">
        <f t="shared" si="82"/>
        <v/>
      </c>
      <c r="KF39" s="870" t="str">
        <f>IF($N$36="","",IF(AND($D$39=KD$11,$F$39&lt;&gt;""),$F$39,IF(AND($D$39=KD$11,$L$39&lt;&gt;""),$L$39,IF($D$39=KD$11,$M$39,""))))</f>
        <v/>
      </c>
      <c r="KG39" s="880" t="str">
        <f t="shared" si="83"/>
        <v/>
      </c>
      <c r="KH39" s="874" t="str">
        <f t="shared" si="84"/>
        <v/>
      </c>
      <c r="KI39" s="870" t="str">
        <f>IF($N$36="","",IF(AND($D$39=KG$11,$F$39&lt;&gt;""),$F$39,IF(AND($D$39=KG$11,$L$39&lt;&gt;""),$L$39,IF($D$39=KG$11,$M$39,""))))</f>
        <v/>
      </c>
      <c r="KJ39" s="880" t="str">
        <f t="shared" si="85"/>
        <v/>
      </c>
      <c r="KK39" s="874" t="str">
        <f t="shared" si="86"/>
        <v/>
      </c>
      <c r="KL39" s="870" t="str">
        <f>IF($N$36="","",IF(AND($D$39=KJ$11,$F$39&lt;&gt;""),$F$39,IF(AND($D$39=KJ$11,$L$39&lt;&gt;""),$L$39,IF($D$39=KJ$11,$M$39,""))))</f>
        <v/>
      </c>
      <c r="KM39" s="880" t="str">
        <f t="shared" si="87"/>
        <v/>
      </c>
      <c r="KN39" s="874" t="str">
        <f t="shared" si="88"/>
        <v/>
      </c>
      <c r="KO39" s="870" t="str">
        <f>IF($N$36="","",IF(AND($D$39=KM$11,$F$39&lt;&gt;""),$F$39,IF(AND($D$39=KM$11,$L$39&lt;&gt;""),$L$39,IF($D$39=KM$11,$M$39,""))))</f>
        <v/>
      </c>
      <c r="KP39" s="880" t="str">
        <f t="shared" si="89"/>
        <v/>
      </c>
      <c r="KQ39" s="874" t="str">
        <f t="shared" si="90"/>
        <v/>
      </c>
      <c r="KR39" s="870" t="str">
        <f>IF($N$36="","",IF(AND($D$39=KP$11,$F$39&lt;&gt;""),$F$39,IF(AND($D$39=KP$11,$L$39&lt;&gt;""),$L$39,IF($D$39=KP$11,$M$39,""))))</f>
        <v/>
      </c>
      <c r="KS39" s="880" t="str">
        <f t="shared" si="91"/>
        <v/>
      </c>
      <c r="KT39" s="874" t="str">
        <f t="shared" si="92"/>
        <v/>
      </c>
      <c r="KU39" s="870" t="str">
        <f>IF($N$36="","",IF(AND($D$39=KS$11,$F$39&lt;&gt;""),$F$39,IF(AND($D$39=KS$11,$L$39&lt;&gt;""),$L$39,IF($D$39=KS$11,$M$39,""))))</f>
        <v/>
      </c>
      <c r="KV39" s="880" t="str">
        <f t="shared" si="93"/>
        <v/>
      </c>
      <c r="KW39" s="874" t="str">
        <f t="shared" si="94"/>
        <v/>
      </c>
      <c r="KX39" s="870" t="str">
        <f>IF($N$36="","",IF(AND($D$39=KV$11,$F$39&lt;&gt;""),$F$39,IF(AND($D$39=KV$11,$L$39&lt;&gt;""),$L$39,IF($D$39=KV$11,$M$39,""))))</f>
        <v/>
      </c>
      <c r="KY39" s="880" t="str">
        <f t="shared" si="95"/>
        <v/>
      </c>
      <c r="KZ39" s="874" t="str">
        <f t="shared" si="96"/>
        <v/>
      </c>
      <c r="LA39" s="870" t="str">
        <f>IF($N$36="","",IF(AND($D$39=KY$11,$F$39&lt;&gt;""),$F$39,IF(AND($D$39=KY$11,$L$39&lt;&gt;""),$L$39,IF($D$39=KY$11,$M$39,""))))</f>
        <v/>
      </c>
      <c r="LB39" s="880" t="str">
        <f t="shared" si="97"/>
        <v/>
      </c>
      <c r="LC39" s="874" t="str">
        <f t="shared" si="98"/>
        <v/>
      </c>
      <c r="LD39" s="870" t="str">
        <f>IF($N$36="","",IF(AND($D$39=LB$11,$F$39&lt;&gt;""),$F$39,IF(AND($D$39=LB$11,$L$39&lt;&gt;""),$L$39,IF($D$39=LB$11,$M$39,""))))</f>
        <v/>
      </c>
      <c r="LE39" s="880" t="str">
        <f t="shared" si="99"/>
        <v/>
      </c>
      <c r="LF39" s="874" t="str">
        <f t="shared" si="100"/>
        <v/>
      </c>
      <c r="LG39" s="870" t="str">
        <f>IF($N$36="","",IF(AND($D$39=LE$11,$F$39&lt;&gt;""),$F$39,IF(AND($D$39=LE$11,$L$39&lt;&gt;""),$L$39,IF($D$39=LE$11,$M$39,""))))</f>
        <v/>
      </c>
      <c r="LH39"/>
      <c r="LI39"/>
      <c r="LJ39"/>
      <c r="LK39"/>
      <c r="LL39"/>
      <c r="LM39"/>
    </row>
    <row r="40" spans="1:325" ht="12.75" customHeight="1" thickBot="1">
      <c r="A40" s="1211">
        <v>8</v>
      </c>
      <c r="B40" s="332">
        <v>10</v>
      </c>
      <c r="C40" s="100">
        <f t="shared" si="101"/>
        <v>12</v>
      </c>
      <c r="D40" s="517" t="str">
        <f t="shared" si="102"/>
        <v>Hans Weber</v>
      </c>
      <c r="E40" s="1011"/>
      <c r="F40" s="1015" t="str">
        <f t="shared" si="47"/>
        <v/>
      </c>
      <c r="G40" s="545"/>
      <c r="H40" s="1210" t="str">
        <f t="shared" si="48"/>
        <v/>
      </c>
      <c r="I40" s="1210"/>
      <c r="J40" s="1210"/>
      <c r="K40" s="1210"/>
      <c r="L40" s="507"/>
      <c r="M40" s="93" t="str">
        <f>IF(N40="","",IF(N40="R",3,IF(N41="R",2,IF(N42="R",1,IF(N43="R",0,0)))))</f>
        <v/>
      </c>
      <c r="N40" s="706"/>
      <c r="O40" s="268"/>
      <c r="P40" s="1211">
        <v>16</v>
      </c>
      <c r="Q40" s="329">
        <v>14</v>
      </c>
      <c r="R40" s="106">
        <f t="shared" si="49"/>
        <v>8</v>
      </c>
      <c r="S40" s="516" t="str">
        <f t="shared" si="50"/>
        <v>Stefan Pletschacher</v>
      </c>
      <c r="T40" s="1010"/>
      <c r="U40" s="1014" t="str">
        <f t="shared" si="172"/>
        <v/>
      </c>
      <c r="V40" s="544"/>
      <c r="W40" s="1210" t="str">
        <f t="shared" si="52"/>
        <v/>
      </c>
      <c r="X40" s="1210"/>
      <c r="Y40" s="1210"/>
      <c r="Z40" s="1210"/>
      <c r="AA40" s="510"/>
      <c r="AB40" s="93" t="str">
        <f>IF(AC40="","",IF(AC40="R",3,IF(AC41="R",2,IF(AC42="R",1,IF(AC43="R",0,0)))))</f>
        <v/>
      </c>
      <c r="AC40" s="723"/>
      <c r="AD40" s="269"/>
      <c r="AE40" s="1208" t="s">
        <v>63</v>
      </c>
      <c r="AF40" s="106"/>
      <c r="AG40" s="106" t="str">
        <f t="shared" si="173"/>
        <v/>
      </c>
      <c r="AH40" s="516" t="str">
        <f>IF(AW40="R",AV40,IF(AW41="R",AV41,IF(AW42="R",AV42,IF(AW43="R",AV43,""))))</f>
        <v/>
      </c>
      <c r="AI40" s="521"/>
      <c r="AJ40" s="521"/>
      <c r="AK40" s="530"/>
      <c r="AL40" s="1214"/>
      <c r="AM40" s="1214"/>
      <c r="AN40" s="1214"/>
      <c r="AO40" s="1214"/>
      <c r="AP40" s="510"/>
      <c r="AQ40" s="485" t="str">
        <f>IF(AR40="","",IF(AP40&lt;&gt;"",0,IF(AR40="R",3,IF(AR41="R",2,IF(AR42="R",1,IF(AR43="R",0,0.000000001))))))</f>
        <v/>
      </c>
      <c r="AR40" s="723"/>
      <c r="AS40" s="505"/>
      <c r="AT40" s="290"/>
      <c r="AU40" s="290"/>
      <c r="AV40" s="453" t="str">
        <f>IF(AQ$39="","",IF(AY40&lt;&gt;"",AZ40,VLOOKUP(1,BL$48:BN$51,3,FALSE)))</f>
        <v/>
      </c>
      <c r="AW40" s="723"/>
      <c r="AX40" s="268"/>
      <c r="AY40" s="925"/>
      <c r="AZ40" s="1087" t="str">
        <f t="shared" si="177"/>
        <v/>
      </c>
      <c r="BA40" s="1088"/>
      <c r="BB40" s="1088"/>
      <c r="BC40" s="1088"/>
      <c r="BD40" s="1089"/>
      <c r="BI40" s="264" t="str">
        <f>IF(AQ40="","",AQ40+1)</f>
        <v/>
      </c>
      <c r="BJ40" s="762" t="e">
        <f>VLOOKUP(AH40,$FB$66:$FC$83,2,FALSE)</f>
        <v>#N/A</v>
      </c>
      <c r="BK40" s="290"/>
      <c r="BL40" s="8" t="str">
        <f>$M40</f>
        <v/>
      </c>
      <c r="BQ40" s="8" t="str">
        <f>$AB40</f>
        <v/>
      </c>
      <c r="BV40" s="8" t="str">
        <f>$AQ40</f>
        <v/>
      </c>
      <c r="BY40" s="8"/>
      <c r="CA40" s="762"/>
      <c r="CB40" s="13">
        <v>1</v>
      </c>
      <c r="CG40" s="13">
        <v>14</v>
      </c>
      <c r="CH40" s="13" t="str">
        <f t="shared" si="146"/>
        <v>Harald Simon</v>
      </c>
      <c r="CI40" s="770">
        <f t="shared" si="111"/>
        <v>0</v>
      </c>
      <c r="CU40" s="13">
        <f t="shared" si="147"/>
        <v>8</v>
      </c>
      <c r="CV40" s="13">
        <f t="shared" si="112"/>
        <v>8</v>
      </c>
      <c r="CW40" s="13" t="str">
        <f t="shared" si="112"/>
        <v>Stefan Pletschacher</v>
      </c>
      <c r="CX40" s="13" t="str">
        <f t="shared" si="112"/>
        <v/>
      </c>
      <c r="CY40" s="13" t="str">
        <f t="shared" si="112"/>
        <v/>
      </c>
      <c r="CZ40" s="13" t="str">
        <f t="shared" si="112"/>
        <v/>
      </c>
      <c r="DA40" s="13" t="str">
        <f t="shared" si="112"/>
        <v/>
      </c>
      <c r="DC40" s="13">
        <f t="shared" si="148"/>
        <v>0</v>
      </c>
      <c r="DD40" s="243">
        <f t="shared" si="113"/>
        <v>0</v>
      </c>
      <c r="DE40" s="236">
        <f t="shared" si="149"/>
        <v>0</v>
      </c>
      <c r="DF40" s="232">
        <f t="shared" si="114"/>
        <v>0</v>
      </c>
      <c r="DG40" s="234">
        <f t="shared" si="150"/>
        <v>0</v>
      </c>
      <c r="DH40" s="232">
        <f t="shared" si="115"/>
        <v>0</v>
      </c>
      <c r="DI40" s="41">
        <f t="shared" si="151"/>
        <v>0</v>
      </c>
      <c r="DJ40" s="271">
        <f t="shared" si="116"/>
        <v>0</v>
      </c>
      <c r="DK40" s="273">
        <f t="shared" si="117"/>
        <v>0</v>
      </c>
      <c r="DL40" s="281">
        <f t="shared" si="118"/>
        <v>0</v>
      </c>
      <c r="DM40" s="238">
        <f t="shared" si="119"/>
        <v>5.2E-7</v>
      </c>
      <c r="DN40" s="284">
        <f t="shared" si="120"/>
        <v>0</v>
      </c>
      <c r="DO40" s="284">
        <f t="shared" si="121"/>
        <v>0</v>
      </c>
      <c r="DP40" s="284">
        <f t="shared" si="122"/>
        <v>5.2E-7</v>
      </c>
      <c r="DQ40" s="597"/>
      <c r="DR40" s="205">
        <f t="shared" si="152"/>
        <v>8</v>
      </c>
      <c r="DS40" s="4">
        <f t="shared" si="166"/>
        <v>8</v>
      </c>
      <c r="DT40" s="4">
        <f t="shared" si="168"/>
        <v>8</v>
      </c>
      <c r="DU40" s="4">
        <f t="shared" si="170"/>
        <v>8</v>
      </c>
      <c r="DV40" s="4">
        <f t="shared" si="174"/>
        <v>8</v>
      </c>
      <c r="DW40" s="4">
        <f t="shared" si="178"/>
        <v>8</v>
      </c>
      <c r="DX40" s="4">
        <f t="shared" si="180"/>
        <v>8</v>
      </c>
      <c r="DY40" s="4">
        <f t="shared" si="183"/>
        <v>8</v>
      </c>
      <c r="DZ40" s="4">
        <f t="shared" si="185"/>
        <v>8</v>
      </c>
      <c r="EA40" s="4">
        <f t="shared" si="188"/>
        <v>8</v>
      </c>
      <c r="EB40" s="4">
        <f>IF($FO40=$FO$37,$CV16,"")</f>
        <v>8</v>
      </c>
      <c r="EC40" s="4">
        <f>IF($FO40=$FO$38,$CV16,"")</f>
        <v>8</v>
      </c>
      <c r="ED40" s="4">
        <f>IF($FO40=$FO$39,$CV16,"")</f>
        <v>8</v>
      </c>
      <c r="EE40" s="208"/>
      <c r="EF40" s="4">
        <f t="shared" si="131"/>
        <v>8</v>
      </c>
      <c r="EG40" s="225">
        <f t="shared" si="132"/>
        <v>8</v>
      </c>
      <c r="EH40" s="215">
        <f>$AG$7</f>
        <v>8</v>
      </c>
      <c r="EI40" s="205" t="b">
        <f>IF(DR$40="","",FT$16)</f>
        <v>0</v>
      </c>
      <c r="EJ40" s="4" t="b">
        <f t="shared" ref="EJ40:EX40" si="192">IF(DS$40="","",FU$16)</f>
        <v>0</v>
      </c>
      <c r="EK40" s="4" t="b">
        <f t="shared" si="192"/>
        <v>0</v>
      </c>
      <c r="EL40" s="4" t="b">
        <f t="shared" si="192"/>
        <v>0</v>
      </c>
      <c r="EM40" s="4" t="b">
        <f t="shared" si="192"/>
        <v>0</v>
      </c>
      <c r="EN40" s="4" t="b">
        <f t="shared" si="192"/>
        <v>0</v>
      </c>
      <c r="EO40" s="4" t="b">
        <f t="shared" si="192"/>
        <v>0</v>
      </c>
      <c r="EP40" s="4" t="b">
        <f t="shared" si="192"/>
        <v>0</v>
      </c>
      <c r="EQ40" s="4" t="b">
        <f t="shared" si="192"/>
        <v>0</v>
      </c>
      <c r="ER40" s="4" t="b">
        <f t="shared" si="192"/>
        <v>0</v>
      </c>
      <c r="ES40" s="4" t="b">
        <f t="shared" si="192"/>
        <v>0</v>
      </c>
      <c r="ET40" s="4" t="b">
        <f t="shared" si="192"/>
        <v>0</v>
      </c>
      <c r="EU40" s="4" t="b">
        <f t="shared" si="192"/>
        <v>0</v>
      </c>
      <c r="EV40" s="208"/>
      <c r="EW40" s="4" t="b">
        <f t="shared" si="192"/>
        <v>0</v>
      </c>
      <c r="EX40" s="225" t="b">
        <f t="shared" si="192"/>
        <v>0</v>
      </c>
      <c r="EY40" s="230">
        <f t="shared" si="154"/>
        <v>0</v>
      </c>
      <c r="EZ40" s="13">
        <f t="shared" si="134"/>
        <v>8</v>
      </c>
      <c r="FA40" s="657">
        <f t="shared" si="135"/>
        <v>8</v>
      </c>
      <c r="FB40" s="654" t="str">
        <f t="shared" si="135"/>
        <v>Stefan Pletschacher</v>
      </c>
      <c r="FC40" s="655">
        <f t="shared" si="155"/>
        <v>0</v>
      </c>
      <c r="FD40" s="655">
        <f t="shared" si="156"/>
        <v>0</v>
      </c>
      <c r="FE40" s="655">
        <f t="shared" si="157"/>
        <v>0</v>
      </c>
      <c r="FF40" s="655">
        <f t="shared" si="158"/>
        <v>0</v>
      </c>
      <c r="FG40" s="658">
        <f t="shared" si="136"/>
        <v>0</v>
      </c>
      <c r="FH40" s="656">
        <f t="shared" si="159"/>
        <v>0</v>
      </c>
      <c r="FI40" s="661">
        <f t="shared" si="160"/>
        <v>0</v>
      </c>
      <c r="FJ40" s="663">
        <f t="shared" si="161"/>
        <v>0</v>
      </c>
      <c r="FK40" s="762">
        <f t="shared" si="162"/>
        <v>0</v>
      </c>
      <c r="FL40" s="762">
        <f t="shared" si="163"/>
        <v>0</v>
      </c>
      <c r="FM40" s="762">
        <f t="shared" si="137"/>
        <v>0</v>
      </c>
      <c r="FN40" s="665">
        <f t="shared" si="164"/>
        <v>0</v>
      </c>
      <c r="FO40" s="665">
        <f t="shared" si="182"/>
        <v>0</v>
      </c>
      <c r="FP40" s="762">
        <f t="shared" si="139"/>
        <v>0</v>
      </c>
      <c r="FQ40" s="316">
        <f t="shared" si="140"/>
        <v>0</v>
      </c>
      <c r="FR40" s="13">
        <f t="shared" si="141"/>
        <v>18</v>
      </c>
      <c r="FS40" s="290">
        <f t="shared" si="165"/>
        <v>0</v>
      </c>
      <c r="FT40" s="1192">
        <f t="shared" si="187"/>
        <v>0</v>
      </c>
      <c r="FU40" s="1192"/>
      <c r="FV40" s="1192"/>
      <c r="FW40" s="1192"/>
      <c r="FX40" s="737">
        <f t="shared" si="143"/>
        <v>5.2E-7</v>
      </c>
      <c r="FY40" s="1114">
        <f t="shared" si="176"/>
        <v>5.2E-7</v>
      </c>
      <c r="FZ40" s="1114"/>
      <c r="GA40" s="1114"/>
      <c r="GB40" s="1114"/>
      <c r="GC40" s="1114"/>
      <c r="GD40"/>
      <c r="GE40"/>
      <c r="GF40"/>
      <c r="GG40"/>
      <c r="GH40" s="290"/>
      <c r="GJ40" s="290"/>
      <c r="GW40" s="1143">
        <v>8</v>
      </c>
      <c r="GX40" s="229" t="str">
        <f>IF($N$40="","",IF($IW$40=$GX$3,$IX$40,IF(AND($H$40=$GX$3,$L$40&lt;&gt;""),$L$40,IF(AND($H$40=$GX$3,$L$40=""),$M$40,""))))</f>
        <v/>
      </c>
      <c r="GY40" s="299">
        <v>52</v>
      </c>
      <c r="GZ40" s="300" t="str">
        <f t="shared" si="105"/>
        <v/>
      </c>
      <c r="HA40" s="93" t="str">
        <f t="shared" si="62"/>
        <v/>
      </c>
      <c r="HB40" s="300"/>
      <c r="HC40" s="93" t="str">
        <f t="shared" si="106"/>
        <v/>
      </c>
      <c r="HG40" s="1143">
        <v>8</v>
      </c>
      <c r="HH40" s="229" t="str">
        <f>IF($N$40="","",IF($IW$40=$HH$3,$IX$40,IF(AND($H$40=$HH$3,$L$40&lt;&gt;""),$L$40,IF(AND($H$40=$HH$3,$L$40=""),$M$40,""))))</f>
        <v/>
      </c>
      <c r="HI40" s="299">
        <v>52</v>
      </c>
      <c r="HJ40" s="300" t="str">
        <f t="shared" si="107"/>
        <v/>
      </c>
      <c r="HK40" s="93" t="str">
        <f t="shared" si="63"/>
        <v/>
      </c>
      <c r="HL40" s="300"/>
      <c r="HM40" s="93" t="str">
        <f t="shared" si="64"/>
        <v/>
      </c>
      <c r="HN40" s="1150">
        <v>6</v>
      </c>
      <c r="HO40" s="131" t="str">
        <f>IF($H35="",$D35,$H35)</f>
        <v>Stefan Svensson</v>
      </c>
      <c r="HP40" s="884" t="str">
        <f>M35</f>
        <v/>
      </c>
      <c r="HQ40" s="327" t="str">
        <f>IF($L35="","",$L35)</f>
        <v/>
      </c>
      <c r="HR40" s="327">
        <v>0.01</v>
      </c>
      <c r="HS40" s="458" t="str">
        <f t="shared" si="144"/>
        <v/>
      </c>
      <c r="HT40" s="327" t="e">
        <f>RANK(HS40,HS37:HS40)+COUNTIF(HS37:HS40,HS40)-1</f>
        <v>#VALUE!</v>
      </c>
      <c r="HU40" s="327" t="str">
        <f>IF(HQ40="",HO40,HO40&amp;" ("&amp;HQ40&amp;")")</f>
        <v>Stefan Svensson</v>
      </c>
      <c r="HV40" s="328">
        <v>4</v>
      </c>
      <c r="HW40" s="337" t="str">
        <f>IF(N32="","",VLOOKUP(HV40,HT37:HU40,2,FALSE))</f>
        <v/>
      </c>
      <c r="HX40" s="1150">
        <v>14</v>
      </c>
      <c r="HY40" s="131" t="str">
        <f>IF($W35="",$S35,$W35)</f>
        <v>Dimitry Koltakov</v>
      </c>
      <c r="HZ40" s="327" t="str">
        <f>AB35</f>
        <v/>
      </c>
      <c r="IA40" s="327" t="str">
        <f>IF($AA35="","",$AA35)</f>
        <v/>
      </c>
      <c r="IB40" s="327">
        <v>0.01</v>
      </c>
      <c r="IC40" s="458" t="str">
        <f t="shared" si="145"/>
        <v/>
      </c>
      <c r="ID40" s="327" t="e">
        <f>RANK(IC40,IC37:IC40)+COUNTIF(IC37:IC40,IC40)-1</f>
        <v>#VALUE!</v>
      </c>
      <c r="IE40" s="327" t="str">
        <f>IF(IA40="",HY40,HY40&amp;" ("&amp;IA40&amp;")")</f>
        <v>Dimitry Koltakov</v>
      </c>
      <c r="IF40" s="344">
        <v>4</v>
      </c>
      <c r="IG40" s="337" t="str">
        <f>IF(AC32="","",VLOOKUP(IF40,ID37:IE40,2,FALSE))</f>
        <v/>
      </c>
      <c r="IH40" s="1147">
        <v>6</v>
      </c>
      <c r="II40" s="362" t="str">
        <f>IF($AL35="",$AH35,$AL35)</f>
        <v/>
      </c>
      <c r="IJ40" s="338"/>
      <c r="IK40" s="338" t="str">
        <f>IF($AP35="","",IF($AL35&lt;&gt;"","",$AP35))</f>
        <v/>
      </c>
      <c r="IL40" s="327">
        <v>0.01</v>
      </c>
      <c r="IM40" s="338">
        <f>IF(IK40&lt;&gt;"",-1,IJ40)</f>
        <v>0</v>
      </c>
      <c r="IN40" s="327">
        <f>RANK(IM40,IM37:IM40)+COUNTIF(IM37:IM40,IM40)-1</f>
        <v>1</v>
      </c>
      <c r="IO40" s="338" t="str">
        <f>IF(IK40="",II40,II40&amp;" ("&amp;IK40&amp;")")</f>
        <v/>
      </c>
      <c r="IP40" s="351">
        <v>4</v>
      </c>
      <c r="IQ40" s="339" t="str">
        <f>IF($AQ$35="","",VLOOKUP($IP40,$IN$37:$IO$40,2,FALSE))</f>
        <v/>
      </c>
      <c r="IU40" s="1111">
        <v>8</v>
      </c>
      <c r="IV40" s="695"/>
      <c r="IW40" s="696" t="str">
        <f t="shared" si="68"/>
        <v/>
      </c>
      <c r="IX40" s="697"/>
      <c r="IZ40" s="1111">
        <v>16</v>
      </c>
      <c r="JA40" s="695"/>
      <c r="JB40" s="696" t="str">
        <f t="shared" si="69"/>
        <v/>
      </c>
      <c r="JC40" s="697"/>
      <c r="JE40" s="705"/>
      <c r="JF40" s="705"/>
      <c r="JG40" s="705"/>
      <c r="JH40" s="705"/>
      <c r="JI40" s="705"/>
      <c r="JJ40" s="1334">
        <v>8</v>
      </c>
      <c r="JK40" s="875">
        <v>52</v>
      </c>
      <c r="JL40" s="878" t="str">
        <f t="shared" si="108"/>
        <v/>
      </c>
      <c r="JM40" s="872" t="str">
        <f t="shared" si="71"/>
        <v/>
      </c>
      <c r="JN40" s="868" t="str">
        <f>IF($N$40="","",IF(AND($D$40=JL$11,$F$40&lt;&gt;""),$F$40,IF(AND($D$40=JL$11,$L$40&lt;&gt;""),$L$40,IF($D$40=JL$11,$M$40,""))))</f>
        <v/>
      </c>
      <c r="JO40" s="878" t="str">
        <f t="shared" si="109"/>
        <v/>
      </c>
      <c r="JP40" s="872" t="str">
        <f t="shared" si="72"/>
        <v/>
      </c>
      <c r="JQ40" s="868" t="str">
        <f>IF($N$40="","",IF(AND($D$40=JO$11,$F$40&lt;&gt;""),$F$40,IF(AND($D$40=JO$11,$L$40&lt;&gt;""),$L$40,IF($D$40=JO$11,$M$40,""))))</f>
        <v/>
      </c>
      <c r="JR40" s="878" t="str">
        <f t="shared" si="73"/>
        <v/>
      </c>
      <c r="JS40" s="872" t="str">
        <f t="shared" si="74"/>
        <v/>
      </c>
      <c r="JT40" s="868" t="str">
        <f>IF($N$40="","",IF(AND($D$40=JR$11,$F$40&lt;&gt;""),$F$40,IF(AND($D$40=JR$11,$L$40&lt;&gt;""),$L$40,IF($D$40=JR$11,$M$40,""))))</f>
        <v/>
      </c>
      <c r="JU40" s="878" t="str">
        <f t="shared" si="75"/>
        <v/>
      </c>
      <c r="JV40" s="872" t="str">
        <f t="shared" si="76"/>
        <v/>
      </c>
      <c r="JW40" s="868" t="str">
        <f>IF($N$40="","",IF(AND($D$40=JU$11,$F$40&lt;&gt;""),$F$40,IF(AND($D$40=JU$11,$L$40&lt;&gt;""),$L$40,IF($D$40=JU$11,$M$40,""))))</f>
        <v/>
      </c>
      <c r="JX40" s="878" t="str">
        <f t="shared" si="77"/>
        <v/>
      </c>
      <c r="JY40" s="872" t="str">
        <f t="shared" si="78"/>
        <v/>
      </c>
      <c r="JZ40" s="868" t="str">
        <f>IF($N$40="","",IF(AND($D$40=JX$11,$F$40&lt;&gt;""),$F$40,IF(AND($D$40=JX$11,$L$40&lt;&gt;""),$L$40,IF($D$40=JX$11,$M$40,""))))</f>
        <v/>
      </c>
      <c r="KA40" s="878" t="str">
        <f t="shared" si="79"/>
        <v/>
      </c>
      <c r="KB40" s="872" t="str">
        <f t="shared" si="80"/>
        <v/>
      </c>
      <c r="KC40" s="868" t="str">
        <f>IF($N$40="","",IF(AND($D$40=KA$11,$F$40&lt;&gt;""),$F$40,IF(AND($D$40=KA$11,$L$40&lt;&gt;""),$L$40,IF($D$40=KA$11,$M$40,""))))</f>
        <v/>
      </c>
      <c r="KD40" s="878" t="str">
        <f t="shared" si="81"/>
        <v/>
      </c>
      <c r="KE40" s="872" t="str">
        <f t="shared" si="82"/>
        <v/>
      </c>
      <c r="KF40" s="868" t="str">
        <f>IF($N$40="","",IF(AND($D$40=KD$11,$F$40&lt;&gt;""),$F$40,IF(AND($D$40=KD$11,$L$40&lt;&gt;""),$L$40,IF($D$40=KD$11,$M$40,""))))</f>
        <v/>
      </c>
      <c r="KG40" s="878" t="str">
        <f t="shared" si="83"/>
        <v/>
      </c>
      <c r="KH40" s="872" t="str">
        <f t="shared" si="84"/>
        <v/>
      </c>
      <c r="KI40" s="868" t="str">
        <f>IF($N$40="","",IF(AND($D$40=KG$11,$F$40&lt;&gt;""),$F$40,IF(AND($D$40=KG$11,$L$40&lt;&gt;""),$L$40,IF($D$40=KG$11,$M$40,""))))</f>
        <v/>
      </c>
      <c r="KJ40" s="878" t="str">
        <f t="shared" si="85"/>
        <v/>
      </c>
      <c r="KK40" s="872" t="str">
        <f t="shared" si="86"/>
        <v/>
      </c>
      <c r="KL40" s="868" t="str">
        <f>IF($N$40="","",IF(AND($D$40=KJ$11,$F$40&lt;&gt;""),$F$40,IF(AND($D$40=KJ$11,$L$40&lt;&gt;""),$L$40,IF($D$40=KJ$11,$M$40,""))))</f>
        <v/>
      </c>
      <c r="KM40" s="878" t="str">
        <f t="shared" si="87"/>
        <v/>
      </c>
      <c r="KN40" s="872" t="str">
        <f t="shared" si="88"/>
        <v/>
      </c>
      <c r="KO40" s="868" t="str">
        <f>IF($N$40="","",IF(AND($D$40=KM$11,$F$40&lt;&gt;""),$F$40,IF(AND($D$40=KM$11,$L$40&lt;&gt;""),$L$40,IF($D$40=KM$11,$M$40,""))))</f>
        <v/>
      </c>
      <c r="KP40" s="878" t="str">
        <f t="shared" si="89"/>
        <v/>
      </c>
      <c r="KQ40" s="872" t="str">
        <f t="shared" si="90"/>
        <v/>
      </c>
      <c r="KR40" s="868" t="str">
        <f>IF($N$40="","",IF(AND($D$40=KP$11,$F$40&lt;&gt;""),$F$40,IF(AND($D$40=KP$11,$L$40&lt;&gt;""),$L$40,IF($D$40=KP$11,$M$40,""))))</f>
        <v/>
      </c>
      <c r="KS40" s="878" t="str">
        <f t="shared" si="91"/>
        <v/>
      </c>
      <c r="KT40" s="872" t="str">
        <f t="shared" si="92"/>
        <v/>
      </c>
      <c r="KU40" s="868" t="str">
        <f>IF($N$40="","",IF(AND($D$40=KS$11,$F$40&lt;&gt;""),$F$40,IF(AND($D$40=KS$11,$L$40&lt;&gt;""),$L$40,IF($D$40=KS$11,$M$40,""))))</f>
        <v/>
      </c>
      <c r="KV40" s="878" t="str">
        <f t="shared" si="93"/>
        <v/>
      </c>
      <c r="KW40" s="872" t="str">
        <f t="shared" si="94"/>
        <v/>
      </c>
      <c r="KX40" s="868" t="str">
        <f>IF($N$40="","",IF(AND($D$40=KV$11,$F$40&lt;&gt;""),$F$40,IF(AND($D$40=KV$11,$L$40&lt;&gt;""),$L$40,IF($D$40=KV$11,$M$40,""))))</f>
        <v/>
      </c>
      <c r="KY40" s="878" t="str">
        <f t="shared" si="95"/>
        <v/>
      </c>
      <c r="KZ40" s="872" t="str">
        <f t="shared" si="96"/>
        <v/>
      </c>
      <c r="LA40" s="868" t="str">
        <f>IF($N$40="","",IF(AND($D$40=KY$11,$F$40&lt;&gt;""),$F$40,IF(AND($D$40=KY$11,$L$40&lt;&gt;""),$L$40,IF($D$40=KY$11,$M$40,""))))</f>
        <v/>
      </c>
      <c r="LB40" s="878" t="str">
        <f t="shared" si="97"/>
        <v/>
      </c>
      <c r="LC40" s="872" t="str">
        <f t="shared" si="98"/>
        <v/>
      </c>
      <c r="LD40" s="868" t="str">
        <f>IF($N$40="","",IF(AND($D$40=LB$11,$F$40&lt;&gt;""),$F$40,IF(AND($D$40=LB$11,$L$40&lt;&gt;""),$L$40,IF($D$40=LB$11,$M$40,""))))</f>
        <v/>
      </c>
      <c r="LE40" s="878" t="str">
        <f t="shared" si="99"/>
        <v/>
      </c>
      <c r="LF40" s="872" t="str">
        <f t="shared" si="100"/>
        <v/>
      </c>
      <c r="LG40" s="868" t="str">
        <f>IF($N$40="","",IF(AND($D$40=LE$11,$F$40&lt;&gt;""),$F$40,IF(AND($D$40=LE$11,$L$40&lt;&gt;""),$L$40,IF($D$40=LE$11,$M$40,""))))</f>
        <v/>
      </c>
      <c r="LH40"/>
      <c r="LI40"/>
      <c r="LJ40"/>
      <c r="LK40"/>
      <c r="LL40"/>
      <c r="LM40"/>
    </row>
    <row r="41" spans="1:325" ht="12.75" customHeight="1" thickBot="1">
      <c r="A41" s="1212"/>
      <c r="B41" s="39">
        <v>15</v>
      </c>
      <c r="C41" s="101">
        <f t="shared" si="101"/>
        <v>2</v>
      </c>
      <c r="D41" s="517" t="str">
        <f t="shared" si="102"/>
        <v>Dimitry Koltakov</v>
      </c>
      <c r="E41" s="1011"/>
      <c r="F41" s="1015" t="str">
        <f t="shared" si="47"/>
        <v/>
      </c>
      <c r="G41" s="545"/>
      <c r="H41" s="1198" t="str">
        <f t="shared" si="48"/>
        <v/>
      </c>
      <c r="I41" s="1198"/>
      <c r="J41" s="1198"/>
      <c r="K41" s="1198"/>
      <c r="L41" s="508"/>
      <c r="M41" s="146" t="str">
        <f>IF(N40="","",IF(N40="B",3,IF(N41="B",2,IF(N42="B",1,IF(N43="B",0,0)))))</f>
        <v/>
      </c>
      <c r="N41" s="707"/>
      <c r="O41" s="268"/>
      <c r="P41" s="1212"/>
      <c r="Q41" s="39">
        <v>16</v>
      </c>
      <c r="R41" s="101">
        <f t="shared" si="49"/>
        <v>5</v>
      </c>
      <c r="S41" s="517" t="str">
        <f t="shared" si="50"/>
        <v>Stefan Svensson</v>
      </c>
      <c r="T41" s="1011"/>
      <c r="U41" s="1015" t="str">
        <f t="shared" si="172"/>
        <v/>
      </c>
      <c r="V41" s="545"/>
      <c r="W41" s="1198" t="str">
        <f t="shared" si="52"/>
        <v/>
      </c>
      <c r="X41" s="1198"/>
      <c r="Y41" s="1198"/>
      <c r="Z41" s="1198"/>
      <c r="AA41" s="508"/>
      <c r="AB41" s="146" t="str">
        <f>IF(AC40="","",IF(AC40="B",3,IF(AC41="B",2,IF(AC42="B",1,IF(AC43="B",0,0)))))</f>
        <v/>
      </c>
      <c r="AC41" s="724"/>
      <c r="AD41" s="269"/>
      <c r="AE41" s="1209"/>
      <c r="AF41" s="101"/>
      <c r="AG41" s="101" t="str">
        <f t="shared" si="173"/>
        <v/>
      </c>
      <c r="AH41" s="517" t="str">
        <f>IF(AW40="B",AV40,IF(AW41="B",AV41,IF(AW42="B",AV42,IF(AW43="B",AV43,""))))</f>
        <v/>
      </c>
      <c r="AI41" s="522"/>
      <c r="AJ41" s="522"/>
      <c r="AK41" s="531"/>
      <c r="AL41" s="1215"/>
      <c r="AM41" s="1215"/>
      <c r="AN41" s="1215"/>
      <c r="AO41" s="1215"/>
      <c r="AP41" s="508"/>
      <c r="AQ41" s="488" t="str">
        <f>IF(AR40="","",IF(AP41&lt;&gt;"",0,IF(AR40="B",3,IF(AR41="B",2,IF(AR42="B",1,IF(AR43="B",0,0.000000001))))))</f>
        <v/>
      </c>
      <c r="AR41" s="724"/>
      <c r="AS41" s="505"/>
      <c r="AT41" s="290"/>
      <c r="AU41" s="290"/>
      <c r="AV41" s="454" t="str">
        <f>IF(AQ$39="","",IF(AY41&lt;&gt;"",AZ41,VLOOKUP(2,BL$48:BN$51,3,FALSE)))</f>
        <v/>
      </c>
      <c r="AW41" s="724"/>
      <c r="AX41" s="268"/>
      <c r="AY41" s="926"/>
      <c r="AZ41" s="1090" t="str">
        <f t="shared" si="177"/>
        <v/>
      </c>
      <c r="BA41" s="1091"/>
      <c r="BB41" s="1091"/>
      <c r="BC41" s="1091"/>
      <c r="BD41" s="1092"/>
      <c r="BI41" s="265" t="str">
        <f>IF(AQ41="","",AQ41+1)</f>
        <v/>
      </c>
      <c r="BJ41" s="762" t="e">
        <f>VLOOKUP(AH41,$FB$66:$FC$83,2,FALSE)</f>
        <v>#N/A</v>
      </c>
      <c r="BK41" s="290"/>
      <c r="BM41" s="8" t="str">
        <f>$M41</f>
        <v/>
      </c>
      <c r="BR41" s="8" t="str">
        <f>$AB41</f>
        <v/>
      </c>
      <c r="BW41" s="8" t="str">
        <f>$AQ41</f>
        <v/>
      </c>
      <c r="BY41" s="8"/>
      <c r="CA41" s="762"/>
      <c r="CB41" s="13">
        <v>2</v>
      </c>
      <c r="CG41" s="13">
        <v>15</v>
      </c>
      <c r="CH41" s="13" t="str">
        <f t="shared" si="146"/>
        <v>Rene Stellingwerf</v>
      </c>
      <c r="CI41" s="770">
        <f t="shared" si="111"/>
        <v>0</v>
      </c>
      <c r="CU41" s="13">
        <f t="shared" si="147"/>
        <v>2</v>
      </c>
      <c r="CV41" s="13">
        <f t="shared" si="112"/>
        <v>2</v>
      </c>
      <c r="CW41" s="13" t="str">
        <f t="shared" si="112"/>
        <v>Dimitry Koltakov</v>
      </c>
      <c r="CX41" s="13" t="str">
        <f t="shared" si="112"/>
        <v/>
      </c>
      <c r="CY41" s="13" t="str">
        <f t="shared" si="112"/>
        <v/>
      </c>
      <c r="CZ41" s="13" t="str">
        <f t="shared" si="112"/>
        <v/>
      </c>
      <c r="DA41" s="13" t="str">
        <f t="shared" si="112"/>
        <v/>
      </c>
      <c r="DC41" s="13">
        <f t="shared" si="148"/>
        <v>0</v>
      </c>
      <c r="DD41" s="243">
        <f t="shared" si="113"/>
        <v>0</v>
      </c>
      <c r="DE41" s="236">
        <f t="shared" si="149"/>
        <v>0</v>
      </c>
      <c r="DF41" s="232">
        <f t="shared" si="114"/>
        <v>0</v>
      </c>
      <c r="DG41" s="234">
        <f t="shared" si="150"/>
        <v>0</v>
      </c>
      <c r="DH41" s="232">
        <f t="shared" si="115"/>
        <v>0</v>
      </c>
      <c r="DI41" s="41">
        <f t="shared" si="151"/>
        <v>0</v>
      </c>
      <c r="DJ41" s="271">
        <f t="shared" si="116"/>
        <v>0</v>
      </c>
      <c r="DK41" s="273">
        <f t="shared" si="117"/>
        <v>0</v>
      </c>
      <c r="DL41" s="281">
        <f t="shared" si="118"/>
        <v>0</v>
      </c>
      <c r="DM41" s="239">
        <f t="shared" si="119"/>
        <v>5.7999999999999995E-7</v>
      </c>
      <c r="DN41" s="285">
        <f t="shared" si="120"/>
        <v>0</v>
      </c>
      <c r="DO41" s="285">
        <f t="shared" si="121"/>
        <v>0</v>
      </c>
      <c r="DP41" s="285">
        <f t="shared" si="122"/>
        <v>5.7999999999999995E-7</v>
      </c>
      <c r="DQ41" s="597"/>
      <c r="DR41" s="205">
        <f t="shared" si="152"/>
        <v>2</v>
      </c>
      <c r="DS41" s="4">
        <f t="shared" si="166"/>
        <v>2</v>
      </c>
      <c r="DT41" s="4">
        <f t="shared" si="168"/>
        <v>2</v>
      </c>
      <c r="DU41" s="4">
        <f t="shared" si="170"/>
        <v>2</v>
      </c>
      <c r="DV41" s="4">
        <f t="shared" si="174"/>
        <v>2</v>
      </c>
      <c r="DW41" s="4">
        <f t="shared" si="178"/>
        <v>2</v>
      </c>
      <c r="DX41" s="4">
        <f t="shared" si="180"/>
        <v>2</v>
      </c>
      <c r="DY41" s="4">
        <f t="shared" si="183"/>
        <v>2</v>
      </c>
      <c r="DZ41" s="4">
        <f t="shared" si="185"/>
        <v>2</v>
      </c>
      <c r="EA41" s="4">
        <f t="shared" si="188"/>
        <v>2</v>
      </c>
      <c r="EB41" s="4">
        <f>IF($FO41=$FO$37,$CV17,"")</f>
        <v>2</v>
      </c>
      <c r="EC41" s="4">
        <f>IF($FO41=$FO$38,$CV17,"")</f>
        <v>2</v>
      </c>
      <c r="ED41" s="4">
        <f>IF($FO41=$FO$39,$CV17,"")</f>
        <v>2</v>
      </c>
      <c r="EE41" s="4">
        <f>IF($FO41=$FO$40,$CV17,"")</f>
        <v>2</v>
      </c>
      <c r="EF41" s="208"/>
      <c r="EG41" s="225">
        <f t="shared" si="132"/>
        <v>2</v>
      </c>
      <c r="EH41" s="215">
        <f>$AG$8</f>
        <v>2</v>
      </c>
      <c r="EI41" s="205" t="b">
        <f>IF(DR$41="","",FT$17)</f>
        <v>0</v>
      </c>
      <c r="EJ41" s="4" t="b">
        <f t="shared" ref="EJ41:EX41" si="193">IF(DS$41="","",FU$17)</f>
        <v>0</v>
      </c>
      <c r="EK41" s="4" t="b">
        <f t="shared" si="193"/>
        <v>0</v>
      </c>
      <c r="EL41" s="4" t="b">
        <f t="shared" si="193"/>
        <v>0</v>
      </c>
      <c r="EM41" s="4" t="b">
        <f t="shared" si="193"/>
        <v>0</v>
      </c>
      <c r="EN41" s="4" t="b">
        <f t="shared" si="193"/>
        <v>0</v>
      </c>
      <c r="EO41" s="4" t="b">
        <f t="shared" si="193"/>
        <v>0</v>
      </c>
      <c r="EP41" s="4" t="b">
        <f t="shared" si="193"/>
        <v>0</v>
      </c>
      <c r="EQ41" s="4" t="b">
        <f t="shared" si="193"/>
        <v>0</v>
      </c>
      <c r="ER41" s="4" t="b">
        <f t="shared" si="193"/>
        <v>0</v>
      </c>
      <c r="ES41" s="4" t="b">
        <f t="shared" si="193"/>
        <v>0</v>
      </c>
      <c r="ET41" s="4" t="b">
        <f t="shared" si="193"/>
        <v>0</v>
      </c>
      <c r="EU41" s="4" t="b">
        <f t="shared" si="193"/>
        <v>0</v>
      </c>
      <c r="EV41" s="4" t="b">
        <f t="shared" si="193"/>
        <v>0</v>
      </c>
      <c r="EW41" s="208"/>
      <c r="EX41" s="225" t="b">
        <f t="shared" si="193"/>
        <v>0</v>
      </c>
      <c r="EY41" s="230">
        <f t="shared" si="154"/>
        <v>0</v>
      </c>
      <c r="EZ41" s="13">
        <f t="shared" si="134"/>
        <v>2</v>
      </c>
      <c r="FA41" s="657">
        <f t="shared" si="135"/>
        <v>2</v>
      </c>
      <c r="FB41" s="654" t="str">
        <f t="shared" si="135"/>
        <v>Dimitry Koltakov</v>
      </c>
      <c r="FC41" s="655">
        <f t="shared" si="155"/>
        <v>0</v>
      </c>
      <c r="FD41" s="655">
        <f t="shared" si="156"/>
        <v>0</v>
      </c>
      <c r="FE41" s="655">
        <f t="shared" si="157"/>
        <v>0</v>
      </c>
      <c r="FF41" s="655">
        <f t="shared" si="158"/>
        <v>0</v>
      </c>
      <c r="FG41" s="658">
        <f t="shared" si="136"/>
        <v>0</v>
      </c>
      <c r="FH41" s="656">
        <f t="shared" si="159"/>
        <v>0</v>
      </c>
      <c r="FI41" s="661">
        <f t="shared" si="160"/>
        <v>0</v>
      </c>
      <c r="FJ41" s="663">
        <f t="shared" si="161"/>
        <v>0</v>
      </c>
      <c r="FK41" s="762">
        <f t="shared" si="162"/>
        <v>0</v>
      </c>
      <c r="FL41" s="762">
        <f t="shared" si="163"/>
        <v>0</v>
      </c>
      <c r="FM41" s="762">
        <f t="shared" si="137"/>
        <v>0</v>
      </c>
      <c r="FN41" s="665">
        <f t="shared" si="164"/>
        <v>0</v>
      </c>
      <c r="FO41" s="665">
        <f t="shared" si="182"/>
        <v>0</v>
      </c>
      <c r="FP41" s="762">
        <f t="shared" si="139"/>
        <v>0</v>
      </c>
      <c r="FQ41" s="316">
        <f t="shared" si="140"/>
        <v>0</v>
      </c>
      <c r="FR41" s="13">
        <f t="shared" si="141"/>
        <v>18</v>
      </c>
      <c r="FS41" s="290">
        <f t="shared" si="165"/>
        <v>0</v>
      </c>
      <c r="FT41" s="1192">
        <f t="shared" si="187"/>
        <v>0</v>
      </c>
      <c r="FU41" s="1192"/>
      <c r="FV41" s="1192"/>
      <c r="FW41" s="1192"/>
      <c r="FX41" s="737">
        <f t="shared" si="143"/>
        <v>5.7999999999999995E-7</v>
      </c>
      <c r="FY41" s="1114">
        <f t="shared" si="176"/>
        <v>5.7999999999999995E-7</v>
      </c>
      <c r="FZ41" s="1114"/>
      <c r="GA41" s="1114"/>
      <c r="GB41" s="1114"/>
      <c r="GC41" s="1114"/>
      <c r="GD41"/>
      <c r="GE41"/>
      <c r="GF41"/>
      <c r="GG41"/>
      <c r="GH41" s="290"/>
      <c r="GJ41" s="290"/>
      <c r="GW41" s="1144"/>
      <c r="GX41" s="230" t="str">
        <f>IF($N$40="","",IF($IW$41=$GX$3,$IX$41,IF(AND($H$41=$GX$3,$L$41&lt;&gt;""),$L$41,IF(AND($H$41=$GX$3,$L$41=""),$M$41,""))))</f>
        <v/>
      </c>
      <c r="GY41" s="301">
        <v>51</v>
      </c>
      <c r="GZ41" s="5" t="str">
        <f t="shared" si="105"/>
        <v/>
      </c>
      <c r="HA41" s="95" t="str">
        <f t="shared" si="62"/>
        <v/>
      </c>
      <c r="HB41" s="5"/>
      <c r="HC41" s="95" t="str">
        <f t="shared" si="106"/>
        <v/>
      </c>
      <c r="HG41" s="1144"/>
      <c r="HH41" s="230" t="str">
        <f>IF($N$40="","",IF($IW$41=$HH$3,$IX$41,IF(AND($H$41=$HH$3,$L$41&lt;&gt;""),$L$41,IF(AND($H$41=$HH$3,$L$41=""),$M$41,""))))</f>
        <v/>
      </c>
      <c r="HI41" s="301">
        <v>51</v>
      </c>
      <c r="HJ41" s="5" t="str">
        <f t="shared" si="107"/>
        <v/>
      </c>
      <c r="HK41" s="95" t="str">
        <f t="shared" si="63"/>
        <v/>
      </c>
      <c r="HL41" s="5"/>
      <c r="HM41" s="95" t="str">
        <f t="shared" si="64"/>
        <v/>
      </c>
      <c r="HN41" s="348" t="str">
        <f>IF($A35="","",$A35)</f>
        <v/>
      </c>
      <c r="HO41" s="132" t="str">
        <f>IF($H32&lt;&gt;"",$D32,IF($H33&lt;&gt;"",$D33,IF($H34&lt;&gt;"",$D34,IF($H35&lt;&gt;"",$D35,""))))</f>
        <v/>
      </c>
      <c r="HP41" s="885" t="str">
        <f>IF(HO41="","",VLOOKUP($HO41,$CW$3:$DB$18,3,FALSE))</f>
        <v/>
      </c>
      <c r="HQ41" s="338"/>
      <c r="HR41" s="338"/>
      <c r="HS41" s="338">
        <v>5</v>
      </c>
      <c r="HT41" s="338"/>
      <c r="HU41" s="132" t="str">
        <f>IF(HO41="","",HO41&amp;" ("&amp;HP41&amp;")")</f>
        <v/>
      </c>
      <c r="HV41" s="349">
        <v>5</v>
      </c>
      <c r="HW41" s="339" t="str">
        <f>IF(HU41="","",HU41)</f>
        <v/>
      </c>
      <c r="HX41" s="348" t="str">
        <f>IF($P35="","",$P35)</f>
        <v/>
      </c>
      <c r="HY41" s="132" t="str">
        <f>IF($W32&lt;&gt;"",$S32,IF($W33&lt;&gt;"",$S33,IF($W34&lt;&gt;"",$S34,IF($W35&lt;&gt;"",$S35,""))))</f>
        <v/>
      </c>
      <c r="HZ41" s="338" t="str">
        <f>IF(HY41="","",VLOOKUP($HY41,$CW$3:$DB$18,5,FALSE))</f>
        <v/>
      </c>
      <c r="IA41" s="338"/>
      <c r="IB41" s="338"/>
      <c r="IC41" s="338">
        <v>5</v>
      </c>
      <c r="ID41" s="338"/>
      <c r="IE41" s="132" t="str">
        <f>IF(HY41="","",HY41&amp;" ("&amp;HZ41&amp;")")</f>
        <v/>
      </c>
      <c r="IF41" s="351">
        <v>5</v>
      </c>
      <c r="IG41" s="339" t="str">
        <f>IF(IE41="","",IE41)</f>
        <v/>
      </c>
      <c r="IH41" s="363" t="str">
        <f>IF($AE35="","",$AE35)</f>
        <v/>
      </c>
      <c r="II41"/>
      <c r="IJ41"/>
      <c r="IK41"/>
      <c r="IL41"/>
      <c r="IM41"/>
      <c r="IN41"/>
      <c r="IO41"/>
      <c r="IP41"/>
      <c r="IQ41"/>
      <c r="IU41" s="1112"/>
      <c r="IV41" s="698"/>
      <c r="IW41" s="699" t="str">
        <f t="shared" si="68"/>
        <v/>
      </c>
      <c r="IX41" s="700"/>
      <c r="IZ41" s="1112"/>
      <c r="JA41" s="698"/>
      <c r="JB41" s="699" t="str">
        <f t="shared" si="69"/>
        <v/>
      </c>
      <c r="JC41" s="700"/>
      <c r="JE41" s="705"/>
      <c r="JF41" s="705"/>
      <c r="JG41" s="705"/>
      <c r="JH41" s="705"/>
      <c r="JI41" s="705"/>
      <c r="JJ41" s="1335"/>
      <c r="JK41" s="876">
        <v>51</v>
      </c>
      <c r="JL41" s="879" t="str">
        <f t="shared" si="108"/>
        <v/>
      </c>
      <c r="JM41" s="655" t="str">
        <f t="shared" si="71"/>
        <v/>
      </c>
      <c r="JN41" s="869" t="str">
        <f>IF($N$40="","",IF(AND($D$41=JL$11,$F$41&lt;&gt;""),$F$41,IF(AND($D$41=JL$11,$L$41&lt;&gt;""),$L$41,IF($D$41=JL$11,$M$41,""))))</f>
        <v/>
      </c>
      <c r="JO41" s="879" t="str">
        <f t="shared" si="109"/>
        <v/>
      </c>
      <c r="JP41" s="655" t="str">
        <f t="shared" si="72"/>
        <v/>
      </c>
      <c r="JQ41" s="869" t="str">
        <f>IF($N$40="","",IF(AND($D$41=JO$11,$F$41&lt;&gt;""),$F$41,IF(AND($D$41=JO$11,$L$41&lt;&gt;""),$L$41,IF($D$41=JO$11,$M$41,""))))</f>
        <v/>
      </c>
      <c r="JR41" s="879" t="str">
        <f t="shared" si="73"/>
        <v/>
      </c>
      <c r="JS41" s="655" t="str">
        <f t="shared" si="74"/>
        <v/>
      </c>
      <c r="JT41" s="869" t="str">
        <f>IF($N$40="","",IF(AND($D$41=JR$11,$F$41&lt;&gt;""),$F$41,IF(AND($D$41=JR$11,$L$41&lt;&gt;""),$L$41,IF($D$41=JR$11,$M$41,""))))</f>
        <v/>
      </c>
      <c r="JU41" s="879" t="str">
        <f t="shared" si="75"/>
        <v/>
      </c>
      <c r="JV41" s="655" t="str">
        <f t="shared" si="76"/>
        <v/>
      </c>
      <c r="JW41" s="869" t="str">
        <f>IF($N$40="","",IF(AND($D$41=JU$11,$F$41&lt;&gt;""),$F$41,IF(AND($D$41=JU$11,$L$41&lt;&gt;""),$L$41,IF($D$41=JU$11,$M$41,""))))</f>
        <v/>
      </c>
      <c r="JX41" s="879" t="str">
        <f t="shared" si="77"/>
        <v/>
      </c>
      <c r="JY41" s="655" t="str">
        <f t="shared" si="78"/>
        <v/>
      </c>
      <c r="JZ41" s="869" t="str">
        <f>IF($N$40="","",IF(AND($D$41=JX$11,$F$41&lt;&gt;""),$F$41,IF(AND($D$41=JX$11,$L$41&lt;&gt;""),$L$41,IF($D$41=JX$11,$M$41,""))))</f>
        <v/>
      </c>
      <c r="KA41" s="879" t="str">
        <f t="shared" si="79"/>
        <v/>
      </c>
      <c r="KB41" s="655" t="str">
        <f t="shared" si="80"/>
        <v/>
      </c>
      <c r="KC41" s="869" t="str">
        <f>IF($N$40="","",IF(AND($D$41=KA$11,$F$41&lt;&gt;""),$F$41,IF(AND($D$41=KA$11,$L$41&lt;&gt;""),$L$41,IF($D$41=KA$11,$M$41,""))))</f>
        <v/>
      </c>
      <c r="KD41" s="879" t="str">
        <f t="shared" si="81"/>
        <v/>
      </c>
      <c r="KE41" s="655" t="str">
        <f t="shared" si="82"/>
        <v/>
      </c>
      <c r="KF41" s="869" t="str">
        <f>IF($N$40="","",IF(AND($D$41=KD$11,$F$41&lt;&gt;""),$F$41,IF(AND($D$41=KD$11,$L$41&lt;&gt;""),$L$41,IF($D$41=KD$11,$M$41,""))))</f>
        <v/>
      </c>
      <c r="KG41" s="879" t="str">
        <f t="shared" si="83"/>
        <v/>
      </c>
      <c r="KH41" s="655" t="str">
        <f t="shared" si="84"/>
        <v/>
      </c>
      <c r="KI41" s="869" t="str">
        <f>IF($N$40="","",IF(AND($D$41=KG$11,$F$41&lt;&gt;""),$F$41,IF(AND($D$41=KG$11,$L$41&lt;&gt;""),$L$41,IF($D$41=KG$11,$M$41,""))))</f>
        <v/>
      </c>
      <c r="KJ41" s="879" t="str">
        <f t="shared" si="85"/>
        <v/>
      </c>
      <c r="KK41" s="655" t="str">
        <f t="shared" si="86"/>
        <v/>
      </c>
      <c r="KL41" s="869" t="str">
        <f>IF($N$40="","",IF(AND($D$41=KJ$11,$F$41&lt;&gt;""),$F$41,IF(AND($D$41=KJ$11,$L$41&lt;&gt;""),$L$41,IF($D$41=KJ$11,$M$41,""))))</f>
        <v/>
      </c>
      <c r="KM41" s="879" t="str">
        <f t="shared" si="87"/>
        <v/>
      </c>
      <c r="KN41" s="655" t="str">
        <f t="shared" si="88"/>
        <v/>
      </c>
      <c r="KO41" s="869" t="str">
        <f>IF($N$40="","",IF(AND($D$41=KM$11,$F$41&lt;&gt;""),$F$41,IF(AND($D$41=KM$11,$L$41&lt;&gt;""),$L$41,IF($D$41=KM$11,$M$41,""))))</f>
        <v/>
      </c>
      <c r="KP41" s="879" t="str">
        <f t="shared" si="89"/>
        <v/>
      </c>
      <c r="KQ41" s="655" t="str">
        <f t="shared" si="90"/>
        <v/>
      </c>
      <c r="KR41" s="869" t="str">
        <f>IF($N$40="","",IF(AND($D$41=KP$11,$F$41&lt;&gt;""),$F$41,IF(AND($D$41=KP$11,$L$41&lt;&gt;""),$L$41,IF($D$41=KP$11,$M$41,""))))</f>
        <v/>
      </c>
      <c r="KS41" s="879" t="str">
        <f t="shared" si="91"/>
        <v/>
      </c>
      <c r="KT41" s="655" t="str">
        <f t="shared" si="92"/>
        <v/>
      </c>
      <c r="KU41" s="869" t="str">
        <f>IF($N$40="","",IF(AND($D$41=KS$11,$F$41&lt;&gt;""),$F$41,IF(AND($D$41=KS$11,$L$41&lt;&gt;""),$L$41,IF($D$41=KS$11,$M$41,""))))</f>
        <v/>
      </c>
      <c r="KV41" s="879" t="str">
        <f t="shared" si="93"/>
        <v/>
      </c>
      <c r="KW41" s="655" t="str">
        <f t="shared" si="94"/>
        <v/>
      </c>
      <c r="KX41" s="869" t="str">
        <f>IF($N$40="","",IF(AND($D$41=KV$11,$F$41&lt;&gt;""),$F$41,IF(AND($D$41=KV$11,$L$41&lt;&gt;""),$L$41,IF($D$41=KV$11,$M$41,""))))</f>
        <v/>
      </c>
      <c r="KY41" s="879" t="str">
        <f t="shared" si="95"/>
        <v/>
      </c>
      <c r="KZ41" s="655" t="str">
        <f t="shared" si="96"/>
        <v/>
      </c>
      <c r="LA41" s="869" t="str">
        <f>IF($N$40="","",IF(AND($D$41=KY$11,$F$41&lt;&gt;""),$F$41,IF(AND($D$41=KY$11,$L$41&lt;&gt;""),$L$41,IF($D$41=KY$11,$M$41,""))))</f>
        <v/>
      </c>
      <c r="LB41" s="879" t="str">
        <f t="shared" si="97"/>
        <v/>
      </c>
      <c r="LC41" s="655" t="str">
        <f t="shared" si="98"/>
        <v/>
      </c>
      <c r="LD41" s="869" t="str">
        <f>IF($N$40="","",IF(AND($D$41=LB$11,$F$41&lt;&gt;""),$F$41,IF(AND($D$41=LB$11,$L$41&lt;&gt;""),$L$41,IF($D$41=LB$11,$M$41,""))))</f>
        <v/>
      </c>
      <c r="LE41" s="879" t="str">
        <f t="shared" si="99"/>
        <v/>
      </c>
      <c r="LF41" s="655" t="str">
        <f t="shared" si="100"/>
        <v/>
      </c>
      <c r="LG41" s="869" t="str">
        <f>IF($N$40="","",IF(AND($D$41=LE$11,$F$41&lt;&gt;""),$F$41,IF(AND($D$41=LE$11,$L$41&lt;&gt;""),$L$41,IF($D$41=LE$11,$M$41,""))))</f>
        <v/>
      </c>
      <c r="LH41"/>
      <c r="LI41"/>
      <c r="LJ41"/>
      <c r="LK41"/>
      <c r="LL41"/>
      <c r="LM41"/>
    </row>
    <row r="42" spans="1:325" ht="12.75" customHeight="1" thickBot="1">
      <c r="A42" s="1212"/>
      <c r="B42" s="39">
        <v>13</v>
      </c>
      <c r="C42" s="102">
        <f t="shared" si="101"/>
        <v>19</v>
      </c>
      <c r="D42" s="517" t="str">
        <f t="shared" si="102"/>
        <v>Daniel Henderson</v>
      </c>
      <c r="E42" s="1011"/>
      <c r="F42" s="1015" t="str">
        <f t="shared" si="47"/>
        <v/>
      </c>
      <c r="G42" s="545"/>
      <c r="H42" s="1198" t="str">
        <f t="shared" si="48"/>
        <v/>
      </c>
      <c r="I42" s="1198"/>
      <c r="J42" s="1198"/>
      <c r="K42" s="1198"/>
      <c r="L42" s="508"/>
      <c r="M42" s="146" t="str">
        <f>IF(N40="","",IF(N40="w",3,IF(N41="w",2,IF(N42="w",1,IF(N43="w",0,0)))))</f>
        <v/>
      </c>
      <c r="N42" s="707"/>
      <c r="O42" s="268"/>
      <c r="P42" s="1212"/>
      <c r="Q42" s="39">
        <v>10</v>
      </c>
      <c r="R42" s="102">
        <f t="shared" si="49"/>
        <v>12</v>
      </c>
      <c r="S42" s="517" t="str">
        <f t="shared" si="50"/>
        <v>Hans Weber</v>
      </c>
      <c r="T42" s="1011"/>
      <c r="U42" s="1015" t="str">
        <f t="shared" si="172"/>
        <v/>
      </c>
      <c r="V42" s="545"/>
      <c r="W42" s="1198" t="str">
        <f t="shared" si="52"/>
        <v/>
      </c>
      <c r="X42" s="1198"/>
      <c r="Y42" s="1198"/>
      <c r="Z42" s="1198"/>
      <c r="AA42" s="508"/>
      <c r="AB42" s="146" t="str">
        <f>IF(AC40="","",IF(AC40="w",3,IF(AC41="w",2,IF(AC42="w",1,IF(AC43="w",0,0)))))</f>
        <v/>
      </c>
      <c r="AC42" s="724"/>
      <c r="AD42" s="269"/>
      <c r="AE42" s="1209"/>
      <c r="AF42" s="102"/>
      <c r="AG42" s="102" t="str">
        <f t="shared" si="173"/>
        <v/>
      </c>
      <c r="AH42" s="517" t="str">
        <f>IF(AW40="W",AV40,IF(AW41="W",AV41,IF(AW42="W",AV42,IF(AW43="W",AV43,""))))</f>
        <v/>
      </c>
      <c r="AI42" s="522"/>
      <c r="AJ42" s="522"/>
      <c r="AK42" s="531"/>
      <c r="AL42" s="1215"/>
      <c r="AM42" s="1215"/>
      <c r="AN42" s="1215"/>
      <c r="AO42" s="1215"/>
      <c r="AP42" s="508"/>
      <c r="AQ42" s="488" t="str">
        <f>IF(AR40="","",IF(AP42&lt;&gt;"",0,IF(AR40="w",3,IF(AR41="w",2,IF(AR42="w",1,IF(AR43="w",0,0.000000001))))))</f>
        <v/>
      </c>
      <c r="AR42" s="724"/>
      <c r="AS42" s="505"/>
      <c r="AT42" s="290"/>
      <c r="AU42" s="290"/>
      <c r="AV42" s="454" t="str">
        <f>IF(AQ$39="","",IF(AY42&lt;&gt;"",AZ42,VLOOKUP(3,BL$48:BN$51,3,FALSE)))</f>
        <v/>
      </c>
      <c r="AW42" s="724"/>
      <c r="AX42" s="268"/>
      <c r="AY42" s="926"/>
      <c r="AZ42" s="1090" t="str">
        <f t="shared" si="177"/>
        <v/>
      </c>
      <c r="BA42" s="1091"/>
      <c r="BB42" s="1091"/>
      <c r="BC42" s="1091"/>
      <c r="BD42" s="1092"/>
      <c r="BI42" s="265" t="str">
        <f>IF(AQ42="","",AQ42+1)</f>
        <v/>
      </c>
      <c r="BJ42" s="762" t="e">
        <f>VLOOKUP(AH42,$FB$66:$FC$83,2,FALSE)</f>
        <v>#N/A</v>
      </c>
      <c r="BK42" s="290"/>
      <c r="BN42" s="8" t="str">
        <f>$M42</f>
        <v/>
      </c>
      <c r="BS42" s="8" t="str">
        <f>$AB42</f>
        <v/>
      </c>
      <c r="BX42" s="8" t="str">
        <f>$AQ42</f>
        <v/>
      </c>
      <c r="BY42" s="8"/>
      <c r="CA42" s="762"/>
      <c r="CB42" s="13">
        <v>3</v>
      </c>
      <c r="CG42" s="13">
        <v>16</v>
      </c>
      <c r="CH42" s="13" t="str">
        <f t="shared" si="146"/>
        <v>Simon Reitsma</v>
      </c>
      <c r="CI42" s="770">
        <f t="shared" si="111"/>
        <v>0</v>
      </c>
      <c r="CU42" s="13">
        <f t="shared" si="147"/>
        <v>5</v>
      </c>
      <c r="CV42" s="13">
        <f t="shared" si="112"/>
        <v>5</v>
      </c>
      <c r="CW42" s="13" t="str">
        <f t="shared" si="112"/>
        <v>Stefan Svensson</v>
      </c>
      <c r="CX42" s="13" t="str">
        <f t="shared" si="112"/>
        <v/>
      </c>
      <c r="CY42" s="13" t="str">
        <f t="shared" si="112"/>
        <v/>
      </c>
      <c r="CZ42" s="13" t="str">
        <f t="shared" si="112"/>
        <v/>
      </c>
      <c r="DA42" s="13" t="str">
        <f t="shared" si="112"/>
        <v/>
      </c>
      <c r="DC42" s="13">
        <f t="shared" si="148"/>
        <v>0</v>
      </c>
      <c r="DD42" s="243">
        <f t="shared" si="113"/>
        <v>0</v>
      </c>
      <c r="DE42" s="236">
        <f t="shared" si="149"/>
        <v>0</v>
      </c>
      <c r="DF42" s="232">
        <f t="shared" si="114"/>
        <v>0</v>
      </c>
      <c r="DG42" s="234">
        <f t="shared" si="150"/>
        <v>0</v>
      </c>
      <c r="DH42" s="232">
        <f t="shared" si="115"/>
        <v>0</v>
      </c>
      <c r="DI42" s="41">
        <f t="shared" si="151"/>
        <v>0</v>
      </c>
      <c r="DJ42" s="271">
        <f t="shared" si="116"/>
        <v>0</v>
      </c>
      <c r="DK42" s="273">
        <f t="shared" si="117"/>
        <v>0</v>
      </c>
      <c r="DL42" s="281">
        <f t="shared" si="118"/>
        <v>0</v>
      </c>
      <c r="DM42" s="238">
        <f t="shared" si="119"/>
        <v>5.5000000000000003E-7</v>
      </c>
      <c r="DN42" s="284">
        <f t="shared" si="120"/>
        <v>0</v>
      </c>
      <c r="DO42" s="284">
        <f t="shared" si="121"/>
        <v>0</v>
      </c>
      <c r="DP42" s="284">
        <f t="shared" si="122"/>
        <v>5.5000000000000003E-7</v>
      </c>
      <c r="DQ42" s="597"/>
      <c r="DR42" s="206">
        <f t="shared" si="152"/>
        <v>5</v>
      </c>
      <c r="DS42" s="38">
        <f t="shared" si="166"/>
        <v>5</v>
      </c>
      <c r="DT42" s="38">
        <f t="shared" si="168"/>
        <v>5</v>
      </c>
      <c r="DU42" s="38">
        <f t="shared" si="170"/>
        <v>5</v>
      </c>
      <c r="DV42" s="38">
        <f t="shared" si="174"/>
        <v>5</v>
      </c>
      <c r="DW42" s="38">
        <f t="shared" si="178"/>
        <v>5</v>
      </c>
      <c r="DX42" s="38">
        <f t="shared" si="180"/>
        <v>5</v>
      </c>
      <c r="DY42" s="38">
        <f t="shared" si="183"/>
        <v>5</v>
      </c>
      <c r="DZ42" s="38">
        <f t="shared" si="185"/>
        <v>5</v>
      </c>
      <c r="EA42" s="38">
        <f t="shared" si="188"/>
        <v>5</v>
      </c>
      <c r="EB42" s="38">
        <f>IF($FO42=$FO$37,$CV18,"")</f>
        <v>5</v>
      </c>
      <c r="EC42" s="38">
        <f>IF($FO42=$FO$38,$CV18,"")</f>
        <v>5</v>
      </c>
      <c r="ED42" s="38">
        <f>IF($FO42=$FO$39,$CV18,"")</f>
        <v>5</v>
      </c>
      <c r="EE42" s="38">
        <f>IF($FO42=$FO$40,$CV18,"")</f>
        <v>5</v>
      </c>
      <c r="EF42" s="38">
        <f>IF($FO42=$FO$41,$CV18,"")</f>
        <v>5</v>
      </c>
      <c r="EG42" s="226"/>
      <c r="EH42" s="216">
        <f>$AG$9</f>
        <v>5</v>
      </c>
      <c r="EI42" s="206" t="b">
        <f>IF(DR$42="","",FT$18)</f>
        <v>0</v>
      </c>
      <c r="EJ42" s="38" t="b">
        <f t="shared" ref="EJ42:EW42" si="194">IF(DS$42="","",FU$18)</f>
        <v>0</v>
      </c>
      <c r="EK42" s="38" t="b">
        <f t="shared" si="194"/>
        <v>0</v>
      </c>
      <c r="EL42" s="38" t="b">
        <f t="shared" si="194"/>
        <v>0</v>
      </c>
      <c r="EM42" s="38" t="b">
        <f t="shared" si="194"/>
        <v>0</v>
      </c>
      <c r="EN42" s="38" t="b">
        <f t="shared" si="194"/>
        <v>0</v>
      </c>
      <c r="EO42" s="38" t="b">
        <f t="shared" si="194"/>
        <v>0</v>
      </c>
      <c r="EP42" s="38" t="b">
        <f t="shared" si="194"/>
        <v>0</v>
      </c>
      <c r="EQ42" s="38" t="b">
        <f t="shared" si="194"/>
        <v>0</v>
      </c>
      <c r="ER42" s="38" t="b">
        <f t="shared" si="194"/>
        <v>0</v>
      </c>
      <c r="ES42" s="38" t="b">
        <f t="shared" si="194"/>
        <v>0</v>
      </c>
      <c r="ET42" s="38" t="b">
        <f t="shared" si="194"/>
        <v>0</v>
      </c>
      <c r="EU42" s="38" t="b">
        <f t="shared" si="194"/>
        <v>0</v>
      </c>
      <c r="EV42" s="38" t="b">
        <f t="shared" si="194"/>
        <v>0</v>
      </c>
      <c r="EW42" s="38" t="b">
        <f t="shared" si="194"/>
        <v>0</v>
      </c>
      <c r="EX42" s="226"/>
      <c r="EY42" s="231">
        <f t="shared" si="154"/>
        <v>0</v>
      </c>
      <c r="EZ42" s="13">
        <f t="shared" si="134"/>
        <v>5</v>
      </c>
      <c r="FA42" s="657">
        <f t="shared" si="135"/>
        <v>5</v>
      </c>
      <c r="FB42" s="654" t="str">
        <f t="shared" si="135"/>
        <v>Stefan Svensson</v>
      </c>
      <c r="FC42" s="655">
        <f t="shared" si="155"/>
        <v>0</v>
      </c>
      <c r="FD42" s="655">
        <f t="shared" si="156"/>
        <v>0</v>
      </c>
      <c r="FE42" s="655">
        <f t="shared" si="157"/>
        <v>0</v>
      </c>
      <c r="FF42" s="655">
        <f t="shared" si="158"/>
        <v>0</v>
      </c>
      <c r="FG42" s="658">
        <f t="shared" si="136"/>
        <v>0</v>
      </c>
      <c r="FH42" s="656">
        <f t="shared" si="159"/>
        <v>0</v>
      </c>
      <c r="FI42" s="661">
        <f t="shared" si="160"/>
        <v>0</v>
      </c>
      <c r="FJ42" s="663">
        <f t="shared" si="161"/>
        <v>0</v>
      </c>
      <c r="FK42" s="762">
        <f t="shared" si="162"/>
        <v>0</v>
      </c>
      <c r="FL42" s="762">
        <f t="shared" si="163"/>
        <v>0</v>
      </c>
      <c r="FM42" s="762">
        <f t="shared" si="137"/>
        <v>0</v>
      </c>
      <c r="FN42" s="665">
        <f t="shared" si="164"/>
        <v>0</v>
      </c>
      <c r="FO42" s="665">
        <f t="shared" si="182"/>
        <v>0</v>
      </c>
      <c r="FP42" s="762">
        <f t="shared" si="139"/>
        <v>0</v>
      </c>
      <c r="FQ42" s="316">
        <f t="shared" si="140"/>
        <v>0</v>
      </c>
      <c r="FR42" s="13">
        <f t="shared" si="141"/>
        <v>18</v>
      </c>
      <c r="FS42" s="290">
        <f t="shared" si="165"/>
        <v>0</v>
      </c>
      <c r="FT42" s="1192">
        <f t="shared" si="187"/>
        <v>0</v>
      </c>
      <c r="FU42" s="1192"/>
      <c r="FV42" s="1192"/>
      <c r="FW42" s="1192"/>
      <c r="FX42" s="737">
        <f t="shared" si="143"/>
        <v>5.5000000000000003E-7</v>
      </c>
      <c r="FY42" s="1114">
        <f t="shared" si="176"/>
        <v>5.5000000000000003E-7</v>
      </c>
      <c r="FZ42" s="1114"/>
      <c r="GA42" s="1114"/>
      <c r="GB42" s="1114"/>
      <c r="GC42" s="1114"/>
      <c r="GD42"/>
      <c r="GE42"/>
      <c r="GF42"/>
      <c r="GG42"/>
      <c r="GH42" s="290"/>
      <c r="GJ42" s="290"/>
      <c r="GW42" s="1144"/>
      <c r="GX42" s="230" t="str">
        <f>IF($N$40="","",IF($IW$42=$GX$3,$IX$42,IF(AND($H$42=$GX$3,$L$42&lt;&gt;""),$L$42,IF(AND($H$42=$GX$3,$L$42=""),$M$42,""))))</f>
        <v/>
      </c>
      <c r="GY42" s="301">
        <v>50</v>
      </c>
      <c r="GZ42" s="5" t="str">
        <f t="shared" si="105"/>
        <v/>
      </c>
      <c r="HA42" s="95" t="str">
        <f t="shared" si="62"/>
        <v/>
      </c>
      <c r="HB42" s="5"/>
      <c r="HC42" s="95" t="str">
        <f t="shared" si="106"/>
        <v/>
      </c>
      <c r="HG42" s="1144"/>
      <c r="HH42" s="230" t="str">
        <f>IF($N$40="","",IF($IW$42=$HH$3,$IX$42,IF(AND($H$42=$HH$3,$L$42&lt;&gt;""),$L$42,IF(AND($H$42=$HH$3,$L$42=""),$M$42,""))))</f>
        <v/>
      </c>
      <c r="HI42" s="301">
        <v>50</v>
      </c>
      <c r="HJ42" s="5" t="str">
        <f t="shared" si="107"/>
        <v/>
      </c>
      <c r="HK42" s="95" t="str">
        <f t="shared" si="63"/>
        <v/>
      </c>
      <c r="HL42" s="5"/>
      <c r="HM42" s="95" t="str">
        <f t="shared" si="64"/>
        <v/>
      </c>
      <c r="HN42" s="1148">
        <v>7</v>
      </c>
      <c r="HO42" s="346" t="str">
        <f>IF($H36="",$D36,$H36)</f>
        <v>Per-Anders Lindstrom</v>
      </c>
      <c r="HP42" s="883" t="str">
        <f>M36</f>
        <v/>
      </c>
      <c r="HQ42" s="335" t="str">
        <f>IF($L36="","",$L36)</f>
        <v/>
      </c>
      <c r="HR42" s="335">
        <v>0.04</v>
      </c>
      <c r="HS42" s="456" t="str">
        <f>IF(HQ42&lt;&gt;"",-1,HP42)</f>
        <v/>
      </c>
      <c r="HT42" s="457" t="e">
        <f>RANK(HS42,HS42:HS45)+COUNTIF(HS42:HS42,HS42)-1</f>
        <v>#VALUE!</v>
      </c>
      <c r="HU42" s="335" t="str">
        <f>IF(HQ42="",HO42,HO42&amp;" ("&amp;HQ42&amp;")")</f>
        <v>Per-Anders Lindstrom</v>
      </c>
      <c r="HV42" s="347">
        <v>1</v>
      </c>
      <c r="HW42" s="336" t="str">
        <f>IF(N36="","",VLOOKUP(HV42,HT42:HU45,2,FALSE))</f>
        <v/>
      </c>
      <c r="HX42" s="1148">
        <v>15</v>
      </c>
      <c r="HY42" s="346" t="str">
        <f>IF($W36="",$S36,$W36)</f>
        <v>Harald Simon</v>
      </c>
      <c r="HZ42" s="335" t="str">
        <f>AB36</f>
        <v/>
      </c>
      <c r="IA42" s="335" t="str">
        <f>IF($AA36="","",$AA36)</f>
        <v/>
      </c>
      <c r="IB42" s="335">
        <v>0.04</v>
      </c>
      <c r="IC42" s="456" t="str">
        <f>IF(IA42&lt;&gt;"",-1,HZ42)</f>
        <v/>
      </c>
      <c r="ID42" s="457" t="e">
        <f>RANK(IC42,IC42:IC45)+COUNTIF(IC42:IC42,IC42)-1</f>
        <v>#VALUE!</v>
      </c>
      <c r="IE42" s="335" t="str">
        <f>IF(IA42="",HY42,HY42&amp;" ("&amp;IA42&amp;")")</f>
        <v>Harald Simon</v>
      </c>
      <c r="IF42" s="350">
        <v>1</v>
      </c>
      <c r="IG42" s="336" t="str">
        <f>IF(AC36="","",VLOOKUP(IF42,ID42:IE45,2,FALSE))</f>
        <v/>
      </c>
      <c r="IH42" s="1146" t="s">
        <v>93</v>
      </c>
      <c r="II42" s="360" t="str">
        <f>IF($AL36="",$AH36,$AL36)</f>
        <v/>
      </c>
      <c r="IJ42" s="335" t="str">
        <f>AQ36</f>
        <v/>
      </c>
      <c r="IK42" s="335" t="str">
        <f>IF($AP36="","",$AP36)</f>
        <v/>
      </c>
      <c r="IL42" s="335">
        <v>0.04</v>
      </c>
      <c r="IM42" s="335" t="str">
        <f>IF(IK42&lt;&gt;"",-1,IJ42)</f>
        <v/>
      </c>
      <c r="IN42" s="457" t="e">
        <f>RANK(IM42,IM42:IM45)+COUNTIF(IM42:IM42,IM42)-1</f>
        <v>#VALUE!</v>
      </c>
      <c r="IO42" s="335" t="str">
        <f>IF(IK42="",II42,II42&amp;" ("&amp;IK42&amp;")")</f>
        <v/>
      </c>
      <c r="IP42" s="350">
        <v>1</v>
      </c>
      <c r="IQ42" s="336" t="str">
        <f>IF($AQ$39="","",VLOOKUP($IP42,$IN$42:$IO$45,2,FALSE))</f>
        <v/>
      </c>
      <c r="IU42" s="1112"/>
      <c r="IV42" s="701"/>
      <c r="IW42" s="699" t="str">
        <f t="shared" si="68"/>
        <v/>
      </c>
      <c r="IX42" s="700"/>
      <c r="IZ42" s="1112"/>
      <c r="JA42" s="701"/>
      <c r="JB42" s="699" t="str">
        <f t="shared" si="69"/>
        <v/>
      </c>
      <c r="JC42" s="700"/>
      <c r="JE42" s="705"/>
      <c r="JF42" s="705"/>
      <c r="JG42" s="705"/>
      <c r="JH42" s="705"/>
      <c r="JI42" s="705"/>
      <c r="JJ42" s="1335"/>
      <c r="JK42" s="876">
        <v>50</v>
      </c>
      <c r="JL42" s="879" t="str">
        <f t="shared" si="108"/>
        <v/>
      </c>
      <c r="JM42" s="655" t="str">
        <f t="shared" si="71"/>
        <v/>
      </c>
      <c r="JN42" s="869" t="str">
        <f>IF($N$40="","",IF(AND($D$42=JL$11,$F$42&lt;&gt;""),$F$42,IF(AND($D$42=JL$11,$L$42&lt;&gt;""),$L$42,IF($D$42=JL$11,$M$42,""))))</f>
        <v/>
      </c>
      <c r="JO42" s="879" t="str">
        <f t="shared" si="109"/>
        <v/>
      </c>
      <c r="JP42" s="655" t="str">
        <f t="shared" si="72"/>
        <v/>
      </c>
      <c r="JQ42" s="869" t="str">
        <f>IF($N$40="","",IF(AND($D$42=JO$11,$F$42&lt;&gt;""),$F$42,IF(AND($D$42=JO$11,$L$42&lt;&gt;""),$L$42,IF($D$42=JO$11,$M$42,""))))</f>
        <v/>
      </c>
      <c r="JR42" s="879" t="str">
        <f t="shared" si="73"/>
        <v/>
      </c>
      <c r="JS42" s="655" t="str">
        <f t="shared" si="74"/>
        <v/>
      </c>
      <c r="JT42" s="869" t="str">
        <f>IF($N$40="","",IF(AND($D$42=JR$11,$F$42&lt;&gt;""),$F$42,IF(AND($D$42=JR$11,$L$42&lt;&gt;""),$L$42,IF($D$42=JR$11,$M$42,""))))</f>
        <v/>
      </c>
      <c r="JU42" s="879" t="str">
        <f t="shared" si="75"/>
        <v/>
      </c>
      <c r="JV42" s="655" t="str">
        <f t="shared" si="76"/>
        <v/>
      </c>
      <c r="JW42" s="869" t="str">
        <f>IF($N$40="","",IF(AND($D$42=JU$11,$F$42&lt;&gt;""),$F$42,IF(AND($D$42=JU$11,$L$42&lt;&gt;""),$L$42,IF($D$42=JU$11,$M$42,""))))</f>
        <v/>
      </c>
      <c r="JX42" s="879" t="str">
        <f t="shared" si="77"/>
        <v/>
      </c>
      <c r="JY42" s="655" t="str">
        <f t="shared" si="78"/>
        <v/>
      </c>
      <c r="JZ42" s="869" t="str">
        <f>IF($N$40="","",IF(AND($D$42=JX$11,$F$42&lt;&gt;""),$F$42,IF(AND($D$42=JX$11,$L$42&lt;&gt;""),$L$42,IF($D$42=JX$11,$M$42,""))))</f>
        <v/>
      </c>
      <c r="KA42" s="879" t="str">
        <f t="shared" si="79"/>
        <v/>
      </c>
      <c r="KB42" s="655" t="str">
        <f t="shared" si="80"/>
        <v/>
      </c>
      <c r="KC42" s="869" t="str">
        <f>IF($N$40="","",IF(AND($D$42=KA$11,$F$42&lt;&gt;""),$F$42,IF(AND($D$42=KA$11,$L$42&lt;&gt;""),$L$42,IF($D$42=KA$11,$M$42,""))))</f>
        <v/>
      </c>
      <c r="KD42" s="879" t="str">
        <f t="shared" si="81"/>
        <v/>
      </c>
      <c r="KE42" s="655" t="str">
        <f t="shared" si="82"/>
        <v/>
      </c>
      <c r="KF42" s="869" t="str">
        <f>IF($N$40="","",IF(AND($D$42=KD$11,$F$42&lt;&gt;""),$F$42,IF(AND($D$42=KD$11,$L$42&lt;&gt;""),$L$42,IF($D$42=KD$11,$M$42,""))))</f>
        <v/>
      </c>
      <c r="KG42" s="879" t="str">
        <f t="shared" si="83"/>
        <v/>
      </c>
      <c r="KH42" s="655" t="str">
        <f t="shared" si="84"/>
        <v/>
      </c>
      <c r="KI42" s="869" t="str">
        <f>IF($N$40="","",IF(AND($D$42=KG$11,$F$42&lt;&gt;""),$F$42,IF(AND($D$42=KG$11,$L$42&lt;&gt;""),$L$42,IF($D$42=KG$11,$M$42,""))))</f>
        <v/>
      </c>
      <c r="KJ42" s="879" t="str">
        <f t="shared" si="85"/>
        <v/>
      </c>
      <c r="KK42" s="655" t="str">
        <f t="shared" si="86"/>
        <v/>
      </c>
      <c r="KL42" s="869" t="str">
        <f>IF($N$40="","",IF(AND($D$42=KJ$11,$F$42&lt;&gt;""),$F$42,IF(AND($D$42=KJ$11,$L$42&lt;&gt;""),$L$42,IF($D$42=KJ$11,$M$42,""))))</f>
        <v/>
      </c>
      <c r="KM42" s="879" t="str">
        <f t="shared" si="87"/>
        <v/>
      </c>
      <c r="KN42" s="655" t="str">
        <f t="shared" si="88"/>
        <v/>
      </c>
      <c r="KO42" s="869" t="str">
        <f>IF($N$40="","",IF(AND($D$42=KM$11,$F$42&lt;&gt;""),$F$42,IF(AND($D$42=KM$11,$L$42&lt;&gt;""),$L$42,IF($D$42=KM$11,$M$42,""))))</f>
        <v/>
      </c>
      <c r="KP42" s="879" t="str">
        <f t="shared" si="89"/>
        <v/>
      </c>
      <c r="KQ42" s="655" t="str">
        <f t="shared" si="90"/>
        <v/>
      </c>
      <c r="KR42" s="869" t="str">
        <f>IF($N$40="","",IF(AND($D$42=KP$11,$F$42&lt;&gt;""),$F$42,IF(AND($D$42=KP$11,$L$42&lt;&gt;""),$L$42,IF($D$42=KP$11,$M$42,""))))</f>
        <v/>
      </c>
      <c r="KS42" s="879" t="str">
        <f t="shared" si="91"/>
        <v/>
      </c>
      <c r="KT42" s="655" t="str">
        <f t="shared" si="92"/>
        <v/>
      </c>
      <c r="KU42" s="869" t="str">
        <f>IF($N$40="","",IF(AND($D$42=KS$11,$F$42&lt;&gt;""),$F$42,IF(AND($D$42=KS$11,$L$42&lt;&gt;""),$L$42,IF($D$42=KS$11,$M$42,""))))</f>
        <v/>
      </c>
      <c r="KV42" s="879" t="str">
        <f t="shared" si="93"/>
        <v/>
      </c>
      <c r="KW42" s="655" t="str">
        <f t="shared" si="94"/>
        <v/>
      </c>
      <c r="KX42" s="869" t="str">
        <f>IF($N$40="","",IF(AND($D$42=KV$11,$F$42&lt;&gt;""),$F$42,IF(AND($D$42=KV$11,$L$42&lt;&gt;""),$L$42,IF($D$42=KV$11,$M$42,""))))</f>
        <v/>
      </c>
      <c r="KY42" s="879" t="str">
        <f t="shared" si="95"/>
        <v/>
      </c>
      <c r="KZ42" s="655" t="str">
        <f t="shared" si="96"/>
        <v/>
      </c>
      <c r="LA42" s="869" t="str">
        <f>IF($N$40="","",IF(AND($D$42=KY$11,$F$42&lt;&gt;""),$F$42,IF(AND($D$42=KY$11,$L$42&lt;&gt;""),$L$42,IF($D$42=KY$11,$M$42,""))))</f>
        <v/>
      </c>
      <c r="LB42" s="879" t="str">
        <f t="shared" si="97"/>
        <v/>
      </c>
      <c r="LC42" s="655" t="str">
        <f t="shared" si="98"/>
        <v/>
      </c>
      <c r="LD42" s="869" t="str">
        <f>IF($N$40="","",IF(AND($D$42=LB$11,$F$42&lt;&gt;""),$F$42,IF(AND($D$42=LB$11,$L$42&lt;&gt;""),$L$42,IF($D$42=LB$11,$M$42,""))))</f>
        <v/>
      </c>
      <c r="LE42" s="879" t="str">
        <f t="shared" si="99"/>
        <v/>
      </c>
      <c r="LF42" s="655" t="str">
        <f t="shared" si="100"/>
        <v/>
      </c>
      <c r="LG42" s="869" t="str">
        <f>IF($N$40="","",IF(AND($D$42=LE$11,$F$42&lt;&gt;""),$F$42,IF(AND($D$42=LE$11,$L$42&lt;&gt;""),$L$42,IF($D$42=LE$11,$M$42,""))))</f>
        <v/>
      </c>
      <c r="LH42"/>
      <c r="LI42"/>
      <c r="LJ42"/>
      <c r="LK42"/>
      <c r="LL42"/>
      <c r="LM42"/>
    </row>
    <row r="43" spans="1:325" ht="12.75" customHeight="1" thickBot="1">
      <c r="A43" s="918"/>
      <c r="B43" s="331">
        <v>11</v>
      </c>
      <c r="C43" s="103">
        <f t="shared" si="101"/>
        <v>15</v>
      </c>
      <c r="D43" s="519" t="str">
        <f t="shared" si="102"/>
        <v>Harald Simon</v>
      </c>
      <c r="E43" s="1013"/>
      <c r="F43" s="1017" t="str">
        <f t="shared" si="47"/>
        <v/>
      </c>
      <c r="G43" s="547"/>
      <c r="H43" s="1197" t="str">
        <f t="shared" si="48"/>
        <v/>
      </c>
      <c r="I43" s="1197"/>
      <c r="J43" s="1197"/>
      <c r="K43" s="1197"/>
      <c r="L43" s="511"/>
      <c r="M43" s="149" t="str">
        <f>IF(N40="","",IF(N40="y",3,IF(N41="y",2,IF(N42="y",1,IF(N43="y",0,0)))))</f>
        <v/>
      </c>
      <c r="N43" s="708"/>
      <c r="O43" s="268"/>
      <c r="P43" s="918"/>
      <c r="Q43" s="331">
        <v>5</v>
      </c>
      <c r="R43" s="103">
        <f t="shared" si="49"/>
        <v>14</v>
      </c>
      <c r="S43" s="519" t="str">
        <f t="shared" si="50"/>
        <v>Antonin Klatovsky</v>
      </c>
      <c r="T43" s="1013"/>
      <c r="U43" s="1017" t="str">
        <f t="shared" si="172"/>
        <v/>
      </c>
      <c r="V43" s="547"/>
      <c r="W43" s="1197" t="str">
        <f t="shared" si="52"/>
        <v/>
      </c>
      <c r="X43" s="1197"/>
      <c r="Y43" s="1197"/>
      <c r="Z43" s="1197"/>
      <c r="AA43" s="511"/>
      <c r="AB43" s="528" t="str">
        <f>IF(AC40="","",IF(AC40="y",3,IF(AC41="y",2,IF(AC42="y",1,IF(AC43="y",0,0)))))</f>
        <v/>
      </c>
      <c r="AC43" s="725"/>
      <c r="AD43" s="269"/>
      <c r="AE43" s="918"/>
      <c r="AF43" s="103"/>
      <c r="AG43" s="103" t="str">
        <f t="shared" si="173"/>
        <v/>
      </c>
      <c r="AH43" s="520" t="str">
        <f>IF(AW40="Y",AV40,IF(AW41="Y",AV41,IF(AW42="Y",AV42,IF(AW43="Y",AV43,""))))</f>
        <v/>
      </c>
      <c r="AI43" s="523"/>
      <c r="AJ43" s="523"/>
      <c r="AK43" s="532"/>
      <c r="AL43" s="1213"/>
      <c r="AM43" s="1213"/>
      <c r="AN43" s="1213"/>
      <c r="AO43" s="1213"/>
      <c r="AP43" s="511"/>
      <c r="AQ43" s="489" t="str">
        <f>IF(AR40="","",IF(AP43&lt;&gt;"",0,IF(AR40="y",3,IF(AR41="y",2,IF(AR42="y",1,IF(AR43="y",0,0.000000001))))))</f>
        <v/>
      </c>
      <c r="AR43" s="739"/>
      <c r="AS43" s="505"/>
      <c r="AT43" s="290"/>
      <c r="AU43" s="290"/>
      <c r="AV43" s="740" t="str">
        <f>IF(AQ$39="","",IF(AY43&lt;&gt;"",AZ43,VLOOKUP(4,BL$48:BN$51,3,FALSE)))</f>
        <v/>
      </c>
      <c r="AW43" s="739"/>
      <c r="AX43" s="268"/>
      <c r="AY43" s="927"/>
      <c r="AZ43" s="1093" t="str">
        <f t="shared" si="177"/>
        <v/>
      </c>
      <c r="BA43" s="1094"/>
      <c r="BB43" s="1094"/>
      <c r="BC43" s="1094"/>
      <c r="BD43" s="1095"/>
      <c r="BI43" s="266" t="str">
        <f>IF(AQ43="","",AQ43+1)</f>
        <v/>
      </c>
      <c r="BJ43" s="762" t="e">
        <f>VLOOKUP(AH43,$FB$66:$FC$83,2,FALSE)</f>
        <v>#N/A</v>
      </c>
      <c r="BK43" s="290"/>
      <c r="BO43" s="8" t="str">
        <f>$M43</f>
        <v/>
      </c>
      <c r="BT43" s="8" t="str">
        <f>$AB43</f>
        <v/>
      </c>
      <c r="BY43" s="8" t="str">
        <f>$AQ43</f>
        <v/>
      </c>
      <c r="CA43" s="762"/>
      <c r="CB43" s="13">
        <v>4</v>
      </c>
      <c r="CG43" s="13">
        <v>17</v>
      </c>
      <c r="CH43" s="13" t="str">
        <f t="shared" si="146"/>
        <v>Max Niedermaier</v>
      </c>
      <c r="CI43" s="770">
        <f t="shared" si="111"/>
        <v>0</v>
      </c>
      <c r="CU43" s="13">
        <f t="shared" si="147"/>
        <v>16</v>
      </c>
      <c r="CV43" s="13">
        <f t="shared" ref="CV43:DA44" si="195">CV19</f>
        <v>17</v>
      </c>
      <c r="CW43" s="13" t="str">
        <f t="shared" si="195"/>
        <v>Simon Reitsma</v>
      </c>
      <c r="CX43" s="13" t="str">
        <f t="shared" si="195"/>
        <v/>
      </c>
      <c r="CY43" s="13" t="str">
        <f t="shared" si="195"/>
        <v/>
      </c>
      <c r="CZ43" s="13" t="str">
        <f t="shared" si="195"/>
        <v/>
      </c>
      <c r="DA43" s="13" t="str">
        <f t="shared" si="195"/>
        <v/>
      </c>
      <c r="DC43" s="13">
        <f t="shared" si="148"/>
        <v>0</v>
      </c>
      <c r="DD43" s="243">
        <f t="shared" si="113"/>
        <v>0</v>
      </c>
      <c r="DE43" s="236">
        <f t="shared" si="149"/>
        <v>0</v>
      </c>
      <c r="DF43" s="232">
        <f t="shared" si="114"/>
        <v>0</v>
      </c>
      <c r="DG43" s="234">
        <f t="shared" si="150"/>
        <v>0</v>
      </c>
      <c r="DH43" s="232">
        <f t="shared" si="115"/>
        <v>0</v>
      </c>
      <c r="DI43" s="41">
        <f t="shared" si="151"/>
        <v>0</v>
      </c>
      <c r="DJ43" s="271">
        <f t="shared" si="116"/>
        <v>0</v>
      </c>
      <c r="DK43" s="273">
        <f t="shared" si="117"/>
        <v>0</v>
      </c>
      <c r="DL43" s="281">
        <f>IF(EZ19=0,0,EZ19/1000000)</f>
        <v>0</v>
      </c>
      <c r="DM43" s="239">
        <f t="shared" si="119"/>
        <v>4.3000000000000001E-7</v>
      </c>
      <c r="DN43" s="285">
        <f t="shared" si="120"/>
        <v>0</v>
      </c>
      <c r="DO43" s="285">
        <f t="shared" si="121"/>
        <v>0</v>
      </c>
      <c r="DP43" s="285">
        <f t="shared" si="122"/>
        <v>4.3000000000000001E-7</v>
      </c>
      <c r="DQ43" s="597"/>
      <c r="EZ43" s="13">
        <f t="shared" si="134"/>
        <v>16</v>
      </c>
      <c r="FA43" s="657">
        <f t="shared" si="135"/>
        <v>17</v>
      </c>
      <c r="FB43" s="662" t="str">
        <f t="shared" si="135"/>
        <v>Simon Reitsma</v>
      </c>
      <c r="FC43" s="655">
        <f t="shared" si="155"/>
        <v>0</v>
      </c>
      <c r="FD43" s="655">
        <f t="shared" si="156"/>
        <v>0</v>
      </c>
      <c r="FE43" s="655">
        <f t="shared" si="157"/>
        <v>0</v>
      </c>
      <c r="FF43" s="655">
        <f t="shared" si="158"/>
        <v>0</v>
      </c>
      <c r="FG43" s="658">
        <f t="shared" si="136"/>
        <v>0</v>
      </c>
      <c r="FH43" s="656">
        <f t="shared" si="159"/>
        <v>0</v>
      </c>
      <c r="FI43" s="661">
        <f t="shared" si="160"/>
        <v>0</v>
      </c>
      <c r="FJ43" s="663">
        <f t="shared" si="161"/>
        <v>0</v>
      </c>
      <c r="FK43" s="762">
        <f t="shared" si="162"/>
        <v>0</v>
      </c>
      <c r="FL43" s="762">
        <f t="shared" si="163"/>
        <v>0</v>
      </c>
      <c r="FM43" s="762">
        <f t="shared" si="137"/>
        <v>0</v>
      </c>
      <c r="FN43" s="665">
        <f t="shared" si="164"/>
        <v>0</v>
      </c>
      <c r="FO43" s="665">
        <f t="shared" si="182"/>
        <v>0</v>
      </c>
      <c r="FP43" s="762">
        <f t="shared" si="139"/>
        <v>0</v>
      </c>
      <c r="FQ43" s="316">
        <f t="shared" si="140"/>
        <v>0</v>
      </c>
      <c r="FR43" s="13">
        <f t="shared" si="141"/>
        <v>18</v>
      </c>
      <c r="FS43" s="290">
        <f t="shared" si="165"/>
        <v>0</v>
      </c>
      <c r="FT43" s="1192">
        <f t="shared" si="187"/>
        <v>0</v>
      </c>
      <c r="FU43" s="1192"/>
      <c r="FV43" s="1192"/>
      <c r="FW43" s="1192"/>
      <c r="FX43" s="737">
        <f t="shared" si="143"/>
        <v>4.3000000000000001E-7</v>
      </c>
      <c r="FY43" s="1114">
        <f t="shared" si="176"/>
        <v>4.3000000000000001E-7</v>
      </c>
      <c r="FZ43" s="1114"/>
      <c r="GA43" s="1114"/>
      <c r="GB43" s="1114"/>
      <c r="GC43" s="1114"/>
      <c r="GD43"/>
      <c r="GE43"/>
      <c r="GF43"/>
      <c r="GG43"/>
      <c r="GH43" s="290"/>
      <c r="GJ43" s="290"/>
      <c r="GW43" s="1145"/>
      <c r="GX43" s="231" t="str">
        <f>IF($N$40="","",IF($IW$43=$GX$3,$IX$43,IF(AND($H$43=$GX$3,$L$43&lt;&gt;""),$L$43,IF(AND($H$43=$GX$3,$L$43=""),$M$43,""))))</f>
        <v/>
      </c>
      <c r="GY43" s="302">
        <v>49</v>
      </c>
      <c r="GZ43" s="303" t="str">
        <f t="shared" si="105"/>
        <v/>
      </c>
      <c r="HA43" s="98" t="str">
        <f t="shared" si="62"/>
        <v/>
      </c>
      <c r="HB43" s="303"/>
      <c r="HC43" s="98" t="str">
        <f t="shared" si="106"/>
        <v/>
      </c>
      <c r="HG43" s="1145"/>
      <c r="HH43" s="231" t="str">
        <f>IF($N$40="","",IF($IW$43=$HH$3,$IX$43,IF(AND($H$43=$HH$3,$L$43&lt;&gt;""),$L$43,IF(AND($H$43=$HH$3,$L$43=""),$M$43,""))))</f>
        <v/>
      </c>
      <c r="HI43" s="302">
        <v>49</v>
      </c>
      <c r="HJ43" s="303" t="str">
        <f t="shared" si="107"/>
        <v/>
      </c>
      <c r="HK43" s="98" t="str">
        <f t="shared" si="63"/>
        <v/>
      </c>
      <c r="HL43" s="303"/>
      <c r="HM43" s="98" t="str">
        <f t="shared" si="64"/>
        <v/>
      </c>
      <c r="HN43" s="1149"/>
      <c r="HO43" s="131" t="str">
        <f>IF($H37="",$D37,$H37)</f>
        <v>Antonin Klatovsky</v>
      </c>
      <c r="HP43" s="884" t="str">
        <f>M37</f>
        <v/>
      </c>
      <c r="HQ43" s="327" t="str">
        <f>IF($L37="","",$L37)</f>
        <v/>
      </c>
      <c r="HR43" s="327">
        <v>0.03</v>
      </c>
      <c r="HS43" s="458" t="str">
        <f t="shared" si="144"/>
        <v/>
      </c>
      <c r="HT43" s="327" t="e">
        <f>RANK(HS43,HS42:HS45)+COUNTIF(HS42:HS43,HS43)-1</f>
        <v>#VALUE!</v>
      </c>
      <c r="HU43" s="327" t="str">
        <f>IF(HQ43="",HO43,HO43&amp;" ("&amp;HQ43&amp;")")</f>
        <v>Antonin Klatovsky</v>
      </c>
      <c r="HV43" s="328">
        <v>2</v>
      </c>
      <c r="HW43" s="337" t="str">
        <f>IF(N36="","",VLOOKUP(HV43,HT42:HU45,2,FALSE))</f>
        <v/>
      </c>
      <c r="HX43" s="1149"/>
      <c r="HY43" s="131" t="str">
        <f>IF($W37="",$S37,$W37)</f>
        <v>Gunter Bauer</v>
      </c>
      <c r="HZ43" s="327" t="str">
        <f>AB37</f>
        <v/>
      </c>
      <c r="IA43" s="327" t="str">
        <f>IF($AA37="","",$AA37)</f>
        <v/>
      </c>
      <c r="IB43" s="327">
        <v>0.03</v>
      </c>
      <c r="IC43" s="458" t="str">
        <f t="shared" si="145"/>
        <v/>
      </c>
      <c r="ID43" s="327" t="e">
        <f>RANK(IC43,IC42:IC45)+COUNTIF(IC42:IC43,IC43)-1</f>
        <v>#VALUE!</v>
      </c>
      <c r="IE43" s="327" t="str">
        <f>IF(IA43="",HY43,HY43&amp;" ("&amp;IA43&amp;")")</f>
        <v>Gunter Bauer</v>
      </c>
      <c r="IF43" s="344">
        <v>2</v>
      </c>
      <c r="IG43" s="337" t="str">
        <f>IF(AC36="","",VLOOKUP(IF43,ID42:IE45,2,FALSE))</f>
        <v/>
      </c>
      <c r="IH43" s="1147"/>
      <c r="II43" s="361" t="str">
        <f>IF($AL37="",$AH37,$AL37)</f>
        <v/>
      </c>
      <c r="IJ43" s="327" t="str">
        <f>AQ37</f>
        <v/>
      </c>
      <c r="IK43" s="327" t="str">
        <f>IF($AP37="","",$AP37)</f>
        <v/>
      </c>
      <c r="IL43" s="327">
        <v>0.03</v>
      </c>
      <c r="IM43" s="327" t="str">
        <f>IF(IK43&lt;&gt;"",-1,IJ43)</f>
        <v/>
      </c>
      <c r="IN43" s="327" t="e">
        <f>RANK(IM43,IM42:IM45)+COUNTIF(IM42:IM43,IM43)-1</f>
        <v>#VALUE!</v>
      </c>
      <c r="IO43" s="327" t="str">
        <f>IF(IK43="",II43,II43&amp;" ("&amp;IK43&amp;")")</f>
        <v/>
      </c>
      <c r="IP43" s="344">
        <v>2</v>
      </c>
      <c r="IQ43" s="337" t="str">
        <f>IF($AQ$39="","",VLOOKUP($IP43,$IN$42:$IO$45,2,FALSE))</f>
        <v/>
      </c>
      <c r="IU43" s="1113"/>
      <c r="IV43" s="702"/>
      <c r="IW43" s="703" t="str">
        <f t="shared" si="68"/>
        <v/>
      </c>
      <c r="IX43" s="704"/>
      <c r="IZ43" s="1113"/>
      <c r="JA43" s="702"/>
      <c r="JB43" s="703" t="str">
        <f t="shared" si="69"/>
        <v/>
      </c>
      <c r="JC43" s="704"/>
      <c r="JE43" s="705"/>
      <c r="JF43" s="705"/>
      <c r="JG43" s="705"/>
      <c r="JH43" s="705"/>
      <c r="JI43" s="705"/>
      <c r="JJ43" s="1336"/>
      <c r="JK43" s="877">
        <v>49</v>
      </c>
      <c r="JL43" s="880" t="str">
        <f t="shared" si="108"/>
        <v/>
      </c>
      <c r="JM43" s="874" t="str">
        <f t="shared" si="71"/>
        <v/>
      </c>
      <c r="JN43" s="870" t="str">
        <f>IF($N$40="","",IF(AND($D$43=JL$11,$F$43&lt;&gt;""),$F$43,IF(AND($D$43=JL$11,$L$43&lt;&gt;""),$L$43,IF($D$43=JL$11,$M$43,""))))</f>
        <v/>
      </c>
      <c r="JO43" s="880" t="str">
        <f t="shared" si="109"/>
        <v/>
      </c>
      <c r="JP43" s="874" t="str">
        <f t="shared" si="72"/>
        <v/>
      </c>
      <c r="JQ43" s="870" t="str">
        <f>IF($N$40="","",IF(AND($D$43=JO$11,$F$43&lt;&gt;""),$F$43,IF(AND($D$43=JO$11,$L$43&lt;&gt;""),$L$43,IF($D$43=JO$11,$M$43,""))))</f>
        <v/>
      </c>
      <c r="JR43" s="880" t="str">
        <f t="shared" si="73"/>
        <v/>
      </c>
      <c r="JS43" s="874" t="str">
        <f t="shared" si="74"/>
        <v/>
      </c>
      <c r="JT43" s="870" t="str">
        <f>IF($N$40="","",IF(AND($D$43=JR$11,$F$43&lt;&gt;""),$F$43,IF(AND($D$43=JR$11,$L$43&lt;&gt;""),$L$43,IF($D$43=JR$11,$M$43,""))))</f>
        <v/>
      </c>
      <c r="JU43" s="880" t="str">
        <f t="shared" si="75"/>
        <v/>
      </c>
      <c r="JV43" s="874" t="str">
        <f t="shared" si="76"/>
        <v/>
      </c>
      <c r="JW43" s="870" t="str">
        <f>IF($N$40="","",IF(AND($D$43=JU$11,$F$43&lt;&gt;""),$F$43,IF(AND($D$43=JU$11,$L$43&lt;&gt;""),$L$43,IF($D$43=JU$11,$M$43,""))))</f>
        <v/>
      </c>
      <c r="JX43" s="880" t="str">
        <f t="shared" si="77"/>
        <v/>
      </c>
      <c r="JY43" s="874" t="str">
        <f t="shared" si="78"/>
        <v/>
      </c>
      <c r="JZ43" s="870" t="str">
        <f>IF($N$40="","",IF(AND($D$43=JX$11,$F$43&lt;&gt;""),$F$43,IF(AND($D$43=JX$11,$L$43&lt;&gt;""),$L$43,IF($D$43=JX$11,$M$43,""))))</f>
        <v/>
      </c>
      <c r="KA43" s="880" t="str">
        <f t="shared" si="79"/>
        <v/>
      </c>
      <c r="KB43" s="874" t="str">
        <f t="shared" si="80"/>
        <v/>
      </c>
      <c r="KC43" s="870" t="str">
        <f>IF($N$40="","",IF(AND($D$43=KA$11,$F$43&lt;&gt;""),$F$43,IF(AND($D$43=KA$11,$L$43&lt;&gt;""),$L$43,IF($D$43=KA$11,$M$43,""))))</f>
        <v/>
      </c>
      <c r="KD43" s="880" t="str">
        <f t="shared" si="81"/>
        <v/>
      </c>
      <c r="KE43" s="874" t="str">
        <f t="shared" si="82"/>
        <v/>
      </c>
      <c r="KF43" s="870" t="str">
        <f>IF($N$40="","",IF(AND($D$43=KD$11,$F$43&lt;&gt;""),$F$43,IF(AND($D$43=KD$11,$L$43&lt;&gt;""),$L$43,IF($D$43=KD$11,$M$43,""))))</f>
        <v/>
      </c>
      <c r="KG43" s="880" t="str">
        <f t="shared" si="83"/>
        <v/>
      </c>
      <c r="KH43" s="874" t="str">
        <f t="shared" si="84"/>
        <v/>
      </c>
      <c r="KI43" s="870" t="str">
        <f>IF($N$40="","",IF(AND($D$43=KG$11,$F$43&lt;&gt;""),$F$43,IF(AND($D$43=KG$11,$L$43&lt;&gt;""),$L$43,IF($D$43=KG$11,$M$43,""))))</f>
        <v/>
      </c>
      <c r="KJ43" s="880" t="str">
        <f t="shared" si="85"/>
        <v/>
      </c>
      <c r="KK43" s="874" t="str">
        <f t="shared" si="86"/>
        <v/>
      </c>
      <c r="KL43" s="870" t="str">
        <f>IF($N$40="","",IF(AND($D$43=KJ$11,$F$43&lt;&gt;""),$F$43,IF(AND($D$43=KJ$11,$L$43&lt;&gt;""),$L$43,IF($D$43=KJ$11,$M$43,""))))</f>
        <v/>
      </c>
      <c r="KM43" s="880" t="str">
        <f t="shared" si="87"/>
        <v/>
      </c>
      <c r="KN43" s="874" t="str">
        <f t="shared" si="88"/>
        <v/>
      </c>
      <c r="KO43" s="870" t="str">
        <f>IF($N$40="","",IF(AND($D$43=KM$11,$F$43&lt;&gt;""),$F$43,IF(AND($D$43=KM$11,$L$43&lt;&gt;""),$L$43,IF($D$43=KM$11,$M$43,""))))</f>
        <v/>
      </c>
      <c r="KP43" s="880" t="str">
        <f t="shared" si="89"/>
        <v/>
      </c>
      <c r="KQ43" s="874" t="str">
        <f t="shared" si="90"/>
        <v/>
      </c>
      <c r="KR43" s="870" t="str">
        <f>IF($N$40="","",IF(AND($D$43=KP$11,$F$43&lt;&gt;""),$F$43,IF(AND($D$43=KP$11,$L$43&lt;&gt;""),$L$43,IF($D$43=KP$11,$M$43,""))))</f>
        <v/>
      </c>
      <c r="KS43" s="880" t="str">
        <f t="shared" si="91"/>
        <v/>
      </c>
      <c r="KT43" s="874" t="str">
        <f t="shared" si="92"/>
        <v/>
      </c>
      <c r="KU43" s="870" t="str">
        <f>IF($N$40="","",IF(AND($D$43=KS$11,$F$43&lt;&gt;""),$F$43,IF(AND($D$43=KS$11,$L$43&lt;&gt;""),$L$43,IF($D$43=KS$11,$M$43,""))))</f>
        <v/>
      </c>
      <c r="KV43" s="880" t="str">
        <f t="shared" si="93"/>
        <v/>
      </c>
      <c r="KW43" s="874" t="str">
        <f t="shared" si="94"/>
        <v/>
      </c>
      <c r="KX43" s="870" t="str">
        <f>IF($N$40="","",IF(AND($D$43=KV$11,$F$43&lt;&gt;""),$F$43,IF(AND($D$43=KV$11,$L$43&lt;&gt;""),$L$43,IF($D$43=KV$11,$M$43,""))))</f>
        <v/>
      </c>
      <c r="KY43" s="880" t="str">
        <f t="shared" si="95"/>
        <v/>
      </c>
      <c r="KZ43" s="874" t="str">
        <f t="shared" si="96"/>
        <v/>
      </c>
      <c r="LA43" s="870" t="str">
        <f>IF($N$40="","",IF(AND($D$43=KY$11,$F$43&lt;&gt;""),$F$43,IF(AND($D$43=KY$11,$L$43&lt;&gt;""),$L$43,IF($D$43=KY$11,$M$43,""))))</f>
        <v/>
      </c>
      <c r="LB43" s="880" t="str">
        <f t="shared" si="97"/>
        <v/>
      </c>
      <c r="LC43" s="874" t="str">
        <f t="shared" si="98"/>
        <v/>
      </c>
      <c r="LD43" s="870" t="str">
        <f>IF($N$40="","",IF(AND($D$43=LB$11,$F$43&lt;&gt;""),$F$43,IF(AND($D$43=LB$11,$L$43&lt;&gt;""),$L$43,IF($D$43=LB$11,$M$43,""))))</f>
        <v/>
      </c>
      <c r="LE43" s="880" t="str">
        <f t="shared" si="99"/>
        <v/>
      </c>
      <c r="LF43" s="874" t="str">
        <f t="shared" si="100"/>
        <v/>
      </c>
      <c r="LG43" s="870" t="str">
        <f>IF($N$40="","",IF(AND($D$43=LE$11,$F$43&lt;&gt;""),$F$43,IF(AND($D$43=LE$11,$L$43&lt;&gt;""),$L$43,IF($D$43=LE$11,$M$43,""))))</f>
        <v/>
      </c>
      <c r="LH43"/>
      <c r="LI43"/>
      <c r="LJ43"/>
      <c r="LK43"/>
      <c r="LL43"/>
      <c r="LM43"/>
    </row>
    <row r="44" spans="1:325" ht="12.75" customHeight="1" thickBot="1">
      <c r="M44" s="753"/>
      <c r="N44" s="753"/>
      <c r="AB44" s="324"/>
      <c r="AC44" s="324"/>
      <c r="AR44" s="1070" t="s">
        <v>225</v>
      </c>
      <c r="AS44" s="1071"/>
      <c r="AT44" s="1071"/>
      <c r="AU44" s="1071"/>
      <c r="AV44" s="1071"/>
      <c r="AW44" s="1072"/>
      <c r="AY44" s="1199" t="s">
        <v>102</v>
      </c>
      <c r="AZ44" s="1200"/>
      <c r="BA44" s="1200"/>
      <c r="BB44" s="1200"/>
      <c r="BC44" s="1200"/>
      <c r="BD44" s="1200"/>
      <c r="BE44" s="1200"/>
      <c r="BF44" s="1201"/>
      <c r="CG44" s="13">
        <v>18</v>
      </c>
      <c r="CH44" s="13" t="str">
        <f t="shared" si="146"/>
        <v>Daniel Henderson</v>
      </c>
      <c r="CI44" s="770">
        <f t="shared" si="111"/>
        <v>0</v>
      </c>
      <c r="CU44" s="13">
        <f t="shared" si="147"/>
        <v>17</v>
      </c>
      <c r="CV44" s="13">
        <f t="shared" si="195"/>
        <v>18</v>
      </c>
      <c r="CW44" s="13" t="str">
        <f t="shared" si="195"/>
        <v>Max Niedermaier</v>
      </c>
      <c r="CX44" s="13" t="str">
        <f t="shared" si="195"/>
        <v/>
      </c>
      <c r="CY44" s="13" t="str">
        <f t="shared" si="195"/>
        <v/>
      </c>
      <c r="CZ44" s="13" t="str">
        <f t="shared" si="195"/>
        <v/>
      </c>
      <c r="DA44" s="13" t="str">
        <f t="shared" si="195"/>
        <v/>
      </c>
      <c r="DC44" s="13">
        <f t="shared" si="148"/>
        <v>0</v>
      </c>
      <c r="DD44" s="61">
        <f t="shared" si="113"/>
        <v>0</v>
      </c>
      <c r="DE44" s="237">
        <f t="shared" si="149"/>
        <v>0</v>
      </c>
      <c r="DF44" s="233">
        <f t="shared" si="114"/>
        <v>0</v>
      </c>
      <c r="DG44" s="235">
        <f t="shared" si="150"/>
        <v>0</v>
      </c>
      <c r="DH44" s="233">
        <f t="shared" si="115"/>
        <v>0</v>
      </c>
      <c r="DI44" s="241">
        <f t="shared" si="151"/>
        <v>0</v>
      </c>
      <c r="DJ44" s="272">
        <f t="shared" si="116"/>
        <v>0</v>
      </c>
      <c r="DK44" s="274">
        <f t="shared" si="117"/>
        <v>0</v>
      </c>
      <c r="DL44" s="282">
        <f>IF(EZ20=0,0,EZ20/1000000)</f>
        <v>0</v>
      </c>
      <c r="DM44" s="240">
        <f t="shared" si="119"/>
        <v>4.2E-7</v>
      </c>
      <c r="DN44" s="286">
        <f t="shared" si="120"/>
        <v>0</v>
      </c>
      <c r="DO44" s="286">
        <f t="shared" si="121"/>
        <v>0</v>
      </c>
      <c r="DP44" s="286">
        <f t="shared" si="122"/>
        <v>4.2E-7</v>
      </c>
      <c r="DQ44" s="597"/>
      <c r="EZ44" s="13">
        <f t="shared" si="134"/>
        <v>17</v>
      </c>
      <c r="FA44" s="657">
        <f t="shared" si="135"/>
        <v>18</v>
      </c>
      <c r="FB44" s="662" t="str">
        <f t="shared" si="135"/>
        <v>Max Niedermaier</v>
      </c>
      <c r="FC44" s="655">
        <f t="shared" si="155"/>
        <v>0</v>
      </c>
      <c r="FD44" s="655">
        <f t="shared" si="156"/>
        <v>0</v>
      </c>
      <c r="FE44" s="655">
        <f t="shared" si="157"/>
        <v>0</v>
      </c>
      <c r="FF44" s="655">
        <f t="shared" si="158"/>
        <v>0</v>
      </c>
      <c r="FG44" s="658">
        <f t="shared" si="136"/>
        <v>0</v>
      </c>
      <c r="FH44" s="656">
        <f t="shared" si="159"/>
        <v>0</v>
      </c>
      <c r="FI44" s="661">
        <f t="shared" si="160"/>
        <v>0</v>
      </c>
      <c r="FJ44" s="663">
        <f t="shared" si="161"/>
        <v>0</v>
      </c>
      <c r="FK44" s="762">
        <f t="shared" si="162"/>
        <v>0</v>
      </c>
      <c r="FL44" s="762">
        <f t="shared" si="163"/>
        <v>0</v>
      </c>
      <c r="FM44" s="762">
        <f t="shared" si="137"/>
        <v>0</v>
      </c>
      <c r="FN44" s="665">
        <f t="shared" si="164"/>
        <v>0</v>
      </c>
      <c r="FO44" s="665">
        <f t="shared" si="182"/>
        <v>0</v>
      </c>
      <c r="FP44" s="762">
        <f t="shared" si="139"/>
        <v>0</v>
      </c>
      <c r="FQ44" s="316">
        <f t="shared" si="140"/>
        <v>0</v>
      </c>
      <c r="FR44" s="13">
        <f t="shared" si="141"/>
        <v>18</v>
      </c>
      <c r="FS44" s="290">
        <f t="shared" si="165"/>
        <v>0</v>
      </c>
      <c r="FT44" s="1192">
        <f t="shared" si="187"/>
        <v>0</v>
      </c>
      <c r="FU44" s="1192"/>
      <c r="FV44" s="1192"/>
      <c r="FW44" s="1192"/>
      <c r="FX44" s="737">
        <f t="shared" si="143"/>
        <v>4.2E-7</v>
      </c>
      <c r="FY44" s="1114">
        <f t="shared" si="176"/>
        <v>4.2E-7</v>
      </c>
      <c r="FZ44" s="1114"/>
      <c r="GA44" s="1114"/>
      <c r="GB44" s="1114"/>
      <c r="GC44" s="1114"/>
      <c r="GD44"/>
      <c r="GE44"/>
      <c r="GF44"/>
      <c r="GG44"/>
      <c r="GH44" s="290"/>
      <c r="GJ44" s="290"/>
      <c r="GW44" s="1143">
        <v>9</v>
      </c>
      <c r="GX44" s="229" t="str">
        <f>IF($AC$12="","",IF($JB$12=$GX$3,$JC$12,IF(AND($W$12=$GX$3,$AA$12&lt;&gt;""),$AA$12,IF(AND($W$12=$GX$3,$AA$12=""),$AB$12,""))))</f>
        <v/>
      </c>
      <c r="GY44" s="299">
        <v>48</v>
      </c>
      <c r="GZ44" s="300" t="str">
        <f t="shared" si="105"/>
        <v/>
      </c>
      <c r="HA44" s="93" t="str">
        <f t="shared" si="62"/>
        <v/>
      </c>
      <c r="HB44" s="300"/>
      <c r="HC44" s="93" t="str">
        <f t="shared" si="106"/>
        <v/>
      </c>
      <c r="HG44" s="1143">
        <v>9</v>
      </c>
      <c r="HH44" s="229" t="str">
        <f>IF($AC$12="","",IF($JB$12=$HH$3,$JC$12,IF(AND($W$12=$HH$3,$AA$12&lt;&gt;""),$AA$12,IF(AND($W$12=$HH$3,$AA$12=""),$AB$12,""))))</f>
        <v/>
      </c>
      <c r="HI44" s="299">
        <v>48</v>
      </c>
      <c r="HJ44" s="300" t="str">
        <f t="shared" si="107"/>
        <v/>
      </c>
      <c r="HK44" s="93" t="str">
        <f t="shared" si="63"/>
        <v/>
      </c>
      <c r="HL44" s="300"/>
      <c r="HM44" s="93" t="str">
        <f t="shared" si="64"/>
        <v/>
      </c>
      <c r="HN44" s="1149"/>
      <c r="HO44" s="131" t="str">
        <f>IF($H38="",$D38,$H38)</f>
        <v>Vitaly Khomitsevich</v>
      </c>
      <c r="HP44" s="884" t="str">
        <f>M38</f>
        <v/>
      </c>
      <c r="HQ44" s="327" t="str">
        <f>IF($L38="","",$L38)</f>
        <v/>
      </c>
      <c r="HR44" s="327">
        <v>0.02</v>
      </c>
      <c r="HS44" s="458" t="str">
        <f t="shared" si="144"/>
        <v/>
      </c>
      <c r="HT44" s="327" t="e">
        <f>RANK(HS44,HS42:HS45)+COUNTIF(HS42:HS44,HS44)-1</f>
        <v>#VALUE!</v>
      </c>
      <c r="HU44" s="327" t="str">
        <f>IF(HQ44="",HO44,HO44&amp;" ("&amp;HQ44&amp;")")</f>
        <v>Vitaly Khomitsevich</v>
      </c>
      <c r="HV44" s="328">
        <v>3</v>
      </c>
      <c r="HW44" s="337" t="str">
        <f>IF(N36="","",VLOOKUP(HV44,HT42:HU45,2,FALSE))</f>
        <v/>
      </c>
      <c r="HX44" s="1149"/>
      <c r="HY44" s="131" t="str">
        <f>IF($W38="",$S38,$W38)</f>
        <v>Dimitry Khomitsevich</v>
      </c>
      <c r="HZ44" s="327" t="str">
        <f>AB38</f>
        <v/>
      </c>
      <c r="IA44" s="327" t="str">
        <f>IF($AA38="","",$AA38)</f>
        <v/>
      </c>
      <c r="IB44" s="327">
        <v>0.02</v>
      </c>
      <c r="IC44" s="458" t="str">
        <f t="shared" si="145"/>
        <v/>
      </c>
      <c r="ID44" s="327" t="e">
        <f>RANK(IC44,IC42:IC45)+COUNTIF(IC42:IC44,IC44)-1</f>
        <v>#VALUE!</v>
      </c>
      <c r="IE44" s="327" t="str">
        <f>IF(IA44="",HY44,HY44&amp;" ("&amp;IA44&amp;")")</f>
        <v>Dimitry Khomitsevich</v>
      </c>
      <c r="IF44" s="344">
        <v>3</v>
      </c>
      <c r="IG44" s="337" t="str">
        <f>IF(AC36="","",VLOOKUP(IF44,ID42:IE45,2,FALSE))</f>
        <v/>
      </c>
      <c r="IH44" s="1147"/>
      <c r="II44" s="361" t="str">
        <f>IF($AL38="",$AH38,$AL38)</f>
        <v/>
      </c>
      <c r="IJ44" s="327" t="str">
        <f>AQ38</f>
        <v/>
      </c>
      <c r="IK44" s="327" t="str">
        <f>IF($AP38="","",$AP38)</f>
        <v/>
      </c>
      <c r="IL44" s="327">
        <v>0.02</v>
      </c>
      <c r="IM44" s="327" t="str">
        <f>IF(IK44&lt;&gt;"",-1,IJ44)</f>
        <v/>
      </c>
      <c r="IN44" s="327" t="e">
        <f>RANK(IM44,IM42:IM45)+COUNTIF(IM42:IM44,IM44)-1</f>
        <v>#VALUE!</v>
      </c>
      <c r="IO44" s="327" t="str">
        <f>IF(IK44="",II44,II44&amp;" ("&amp;IK44&amp;")")</f>
        <v/>
      </c>
      <c r="IP44" s="344">
        <v>3</v>
      </c>
      <c r="IQ44" s="337" t="str">
        <f>IF($AQ$39="","",VLOOKUP($IP44,$IN$42:$IO$45,2,FALSE))</f>
        <v/>
      </c>
      <c r="JJ44" s="1334">
        <v>9</v>
      </c>
      <c r="JK44" s="875">
        <v>48</v>
      </c>
      <c r="JL44" s="878" t="str">
        <f t="shared" si="108"/>
        <v/>
      </c>
      <c r="JM44" s="871" t="str">
        <f t="shared" ref="JM44:JM75" si="196">IF(JN44="","",$JK44)</f>
        <v/>
      </c>
      <c r="JN44" s="882" t="str">
        <f>IF($AC12="","",IF(AND($S$12=JL$11,$U$12&lt;&gt;""),$U$12,IF(AND($S$12=JL$11,$AA$12&lt;&gt;""),$AA$12,IF($S$12=JL$11,$AB$12,""))))</f>
        <v/>
      </c>
      <c r="JO44" s="878" t="str">
        <f t="shared" si="109"/>
        <v/>
      </c>
      <c r="JP44" s="871" t="str">
        <f t="shared" ref="JP44:JP75" si="197">IF(JQ44="","",$JK44)</f>
        <v/>
      </c>
      <c r="JQ44" s="882" t="str">
        <f>IF($AC12="","",IF(AND($S$12=JO$11,$U$12&lt;&gt;""),$U$12,IF(AND($S$12=JO$11,$AA$12&lt;&gt;""),$AA$12,IF($S$12=JO$11,$AB$12,""))))</f>
        <v/>
      </c>
      <c r="JR44" s="878" t="str">
        <f t="shared" ref="JR44:JR75" si="198">IF(JS44="","",RANK(JS44,JS$12:JS$91))</f>
        <v/>
      </c>
      <c r="JS44" s="871" t="str">
        <f t="shared" ref="JS44:JS75" si="199">IF(JT44="","",$JK44)</f>
        <v/>
      </c>
      <c r="JT44" s="882" t="str">
        <f>IF($AC12="","",IF(AND($S$12=JR$11,$U$12&lt;&gt;""),$U$12,IF(AND($S$12=JR$11,$AA$12&lt;&gt;""),$AA$12,IF($S$12=JR$11,$AB$12,""))))</f>
        <v/>
      </c>
      <c r="JU44" s="878" t="str">
        <f t="shared" ref="JU44:JU75" si="200">IF(JV44="","",RANK(JV44,JV$12:JV$91))</f>
        <v/>
      </c>
      <c r="JV44" s="871" t="str">
        <f t="shared" ref="JV44:JV75" si="201">IF(JW44="","",$JK44)</f>
        <v/>
      </c>
      <c r="JW44" s="882" t="str">
        <f>IF($AC12="","",IF(AND($S$12=JU$11,$U$12&lt;&gt;""),$U$12,IF(AND($S$12=JU$11,$AA$12&lt;&gt;""),$AA$12,IF($S$12=JU$11,$AB$12,""))))</f>
        <v/>
      </c>
      <c r="JX44" s="878" t="str">
        <f t="shared" ref="JX44:JX75" si="202">IF(JY44="","",RANK(JY44,JY$12:JY$91))</f>
        <v/>
      </c>
      <c r="JY44" s="871" t="str">
        <f t="shared" ref="JY44:JY75" si="203">IF(JZ44="","",$JK44)</f>
        <v/>
      </c>
      <c r="JZ44" s="882" t="str">
        <f>IF($AC12="","",IF(AND($S$12=JX$11,$U$12&lt;&gt;""),$U$12,IF(AND($S$12=JX$11,$AA$12&lt;&gt;""),$AA$12,IF($S$12=JX$11,$AB$12,""))))</f>
        <v/>
      </c>
      <c r="KA44" s="878" t="str">
        <f t="shared" ref="KA44:KA75" si="204">IF(KB44="","",RANK(KB44,KB$12:KB$91))</f>
        <v/>
      </c>
      <c r="KB44" s="871" t="str">
        <f t="shared" ref="KB44:KB75" si="205">IF(KC44="","",$JK44)</f>
        <v/>
      </c>
      <c r="KC44" s="882" t="str">
        <f>IF($AC12="","",IF(AND($S$12=KA$11,$U$12&lt;&gt;""),$U$12,IF(AND($S$12=KA$11,$AA$12&lt;&gt;""),$AA$12,IF($S$12=KA$11,$AB$12,""))))</f>
        <v/>
      </c>
      <c r="KD44" s="878" t="str">
        <f t="shared" ref="KD44:KD75" si="206">IF(KE44="","",RANK(KE44,KE$12:KE$91))</f>
        <v/>
      </c>
      <c r="KE44" s="871" t="str">
        <f t="shared" ref="KE44:KE75" si="207">IF(KF44="","",$JK44)</f>
        <v/>
      </c>
      <c r="KF44" s="882" t="str">
        <f>IF($AC12="","",IF(AND($S$12=KD$11,$U$12&lt;&gt;""),$U$12,IF(AND($S$12=KD$11,$AA$12&lt;&gt;""),$AA$12,IF($S$12=KD$11,$AB$12,""))))</f>
        <v/>
      </c>
      <c r="KG44" s="878" t="str">
        <f t="shared" ref="KG44:KG75" si="208">IF(KH44="","",RANK(KH44,KH$12:KH$91))</f>
        <v/>
      </c>
      <c r="KH44" s="871" t="str">
        <f t="shared" ref="KH44:KH75" si="209">IF(KI44="","",$JK44)</f>
        <v/>
      </c>
      <c r="KI44" s="882" t="str">
        <f>IF($AC12="","",IF(AND($S$12=KG$11,$U$12&lt;&gt;""),$U$12,IF(AND($S$12=KG$11,$AA$12&lt;&gt;""),$AA$12,IF($S$12=KG$11,$AB$12,""))))</f>
        <v/>
      </c>
      <c r="KJ44" s="878" t="str">
        <f t="shared" ref="KJ44:KJ75" si="210">IF(KK44="","",RANK(KK44,KK$12:KK$91))</f>
        <v/>
      </c>
      <c r="KK44" s="871" t="str">
        <f t="shared" ref="KK44:KK75" si="211">IF(KL44="","",$JK44)</f>
        <v/>
      </c>
      <c r="KL44" s="882" t="str">
        <f>IF($AC12="","",IF(AND($S$12=KJ$11,$U$12&lt;&gt;""),$U$12,IF(AND($S$12=KJ$11,$AA$12&lt;&gt;""),$AA$12,IF($S$12=KJ$11,$AB$12,""))))</f>
        <v/>
      </c>
      <c r="KM44" s="878" t="str">
        <f t="shared" ref="KM44:KM75" si="212">IF(KN44="","",RANK(KN44,KN$12:KN$91))</f>
        <v/>
      </c>
      <c r="KN44" s="871" t="str">
        <f t="shared" ref="KN44:KN75" si="213">IF(KO44="","",$JK44)</f>
        <v/>
      </c>
      <c r="KO44" s="882" t="str">
        <f>IF($AC12="","",IF(AND($S$12=KM$11,$U$12&lt;&gt;""),$U$12,IF(AND($S$12=KM$11,$AA$12&lt;&gt;""),$AA$12,IF($S$12=KM$11,$AB$12,""))))</f>
        <v/>
      </c>
      <c r="KP44" s="878" t="str">
        <f t="shared" ref="KP44:KP75" si="214">IF(KQ44="","",RANK(KQ44,KQ$12:KQ$91))</f>
        <v/>
      </c>
      <c r="KQ44" s="871" t="str">
        <f t="shared" ref="KQ44:KQ75" si="215">IF(KR44="","",$JK44)</f>
        <v/>
      </c>
      <c r="KR44" s="882" t="str">
        <f>IF($AC12="","",IF(AND($S$12=KP$11,$U$12&lt;&gt;""),$U$12,IF(AND($S$12=KP$11,$AA$12&lt;&gt;""),$AA$12,IF($S$12=KP$11,$AB$12,""))))</f>
        <v/>
      </c>
      <c r="KS44" s="878" t="str">
        <f t="shared" ref="KS44:KS75" si="216">IF(KT44="","",RANK(KT44,KT$12:KT$91))</f>
        <v/>
      </c>
      <c r="KT44" s="871" t="str">
        <f t="shared" ref="KT44:KT75" si="217">IF(KU44="","",$JK44)</f>
        <v/>
      </c>
      <c r="KU44" s="882" t="str">
        <f>IF($AC12="","",IF(AND($S$12=KS$11,$U$12&lt;&gt;""),$U$12,IF(AND($S$12=KS$11,$AA$12&lt;&gt;""),$AA$12,IF($S$12=KS$11,$AB$12,""))))</f>
        <v/>
      </c>
      <c r="KV44" s="878" t="str">
        <f t="shared" ref="KV44:KV75" si="218">IF(KW44="","",RANK(KW44,KW$12:KW$91))</f>
        <v/>
      </c>
      <c r="KW44" s="871" t="str">
        <f t="shared" ref="KW44:KW75" si="219">IF(KX44="","",$JK44)</f>
        <v/>
      </c>
      <c r="KX44" s="882" t="str">
        <f>IF($AC12="","",IF(AND($S$12=KV$11,$U$12&lt;&gt;""),$U$12,IF(AND($S$12=KV$11,$AA$12&lt;&gt;""),$AA$12,IF($S$12=KV$11,$AB$12,""))))</f>
        <v/>
      </c>
      <c r="KY44" s="878" t="str">
        <f t="shared" ref="KY44:KY75" si="220">IF(KZ44="","",RANK(KZ44,KZ$12:KZ$91))</f>
        <v/>
      </c>
      <c r="KZ44" s="871" t="str">
        <f t="shared" ref="KZ44:KZ75" si="221">IF(LA44="","",$JK44)</f>
        <v/>
      </c>
      <c r="LA44" s="882" t="str">
        <f>IF($AC12="","",IF(AND($S$12=KY$11,$U$12&lt;&gt;""),$U$12,IF(AND($S$12=KY$11,$AA$12&lt;&gt;""),$AA$12,IF($S$12=KY$11,$AB$12,""))))</f>
        <v/>
      </c>
      <c r="LB44" s="878" t="str">
        <f t="shared" ref="LB44:LB75" si="222">IF(LC44="","",RANK(LC44,LC$12:LC$91))</f>
        <v/>
      </c>
      <c r="LC44" s="871" t="str">
        <f t="shared" ref="LC44:LC75" si="223">IF(LD44="","",$JK44)</f>
        <v/>
      </c>
      <c r="LD44" s="882" t="str">
        <f>IF($AC12="","",IF(AND($S$12=LB$11,$U$12&lt;&gt;""),$U$12,IF(AND($S$12=LB$11,$AA$12&lt;&gt;""),$AA$12,IF($S$12=LB$11,$AB$12,""))))</f>
        <v/>
      </c>
      <c r="LE44" s="878" t="str">
        <f t="shared" ref="LE44:LE75" si="224">IF(LF44="","",RANK(LF44,LF$12:LF$91))</f>
        <v/>
      </c>
      <c r="LF44" s="871" t="str">
        <f t="shared" ref="LF44:LF75" si="225">IF(LG44="","",$JK44)</f>
        <v/>
      </c>
      <c r="LG44" s="882" t="str">
        <f>IF($AC12="","",IF(AND($S$12=LE$11,$U$12&lt;&gt;""),$U$12,IF(AND($S$12=LE$11,$AA$12&lt;&gt;""),$AA$12,IF($S$12=LE$11,$AB$12,""))))</f>
        <v/>
      </c>
      <c r="LH44"/>
      <c r="LI44"/>
      <c r="LJ44"/>
      <c r="LK44"/>
      <c r="LL44"/>
      <c r="LM44"/>
    </row>
    <row r="45" spans="1:325" ht="12.75" customHeight="1" thickBot="1">
      <c r="D45" s="290"/>
      <c r="E45" s="290"/>
      <c r="F45" s="290"/>
      <c r="G45" s="290"/>
      <c r="AR45" s="1073"/>
      <c r="AS45" s="1074"/>
      <c r="AT45" s="1074"/>
      <c r="AU45" s="1074"/>
      <c r="AV45" s="1074"/>
      <c r="AW45" s="1075"/>
      <c r="AY45" s="1202"/>
      <c r="AZ45" s="1203"/>
      <c r="BA45" s="1203"/>
      <c r="BB45" s="1203"/>
      <c r="BC45" s="1203"/>
      <c r="BD45" s="1203"/>
      <c r="BE45" s="1203"/>
      <c r="BF45" s="1204"/>
      <c r="CV45"/>
      <c r="FE45" s="655">
        <f>IF($FD$27=1,VLOOKUP($FB$27,$AH$32:$AQ$39,10,FALSE),0)</f>
        <v>0</v>
      </c>
      <c r="FG45" s="658">
        <f>IF($AR$40="",0,IF($FF$27=2,VLOOKUP($FB$27,$AH$40:$AR$43,10,FALSE),0))</f>
        <v>0</v>
      </c>
      <c r="FL45" s="316"/>
      <c r="FM45" s="316"/>
      <c r="FN45" s="290"/>
      <c r="FO45" s="290"/>
      <c r="FP45" s="290"/>
      <c r="FQ45" s="290"/>
      <c r="FR45"/>
      <c r="FS45"/>
      <c r="FT45"/>
      <c r="FU45"/>
      <c r="FV45"/>
      <c r="FW45"/>
      <c r="FX45"/>
      <c r="FY45"/>
      <c r="FZ45"/>
      <c r="GA45"/>
      <c r="GB45"/>
      <c r="GC45"/>
      <c r="GD45"/>
      <c r="GE45"/>
      <c r="GF45"/>
      <c r="GG45"/>
      <c r="GH45" s="290"/>
      <c r="GJ45" s="290"/>
      <c r="GW45" s="1144"/>
      <c r="GX45" s="230" t="str">
        <f>IF($AC$12="","",IF($JB$13=$GX$3,$JC$13,IF(AND($W$13=$GX$3,$AA$13&lt;&gt;""),$AA$13,IF(AND($W$13=$GX$3,$AA$13=""),$AB$13,""))))</f>
        <v/>
      </c>
      <c r="GY45" s="301">
        <v>47</v>
      </c>
      <c r="GZ45" s="5" t="str">
        <f t="shared" si="105"/>
        <v/>
      </c>
      <c r="HA45" s="95" t="str">
        <f t="shared" si="62"/>
        <v/>
      </c>
      <c r="HB45" s="5"/>
      <c r="HC45" s="95" t="str">
        <f t="shared" si="106"/>
        <v/>
      </c>
      <c r="HG45" s="1144"/>
      <c r="HH45" s="230" t="str">
        <f>IF($AC$12="","",IF($JB$13=$HH$3,$JC$13,IF(AND($W$13=$HH$3,$AA$13&lt;&gt;""),$AA$13,IF(AND($W$13=$HH$3,$AA$13=""),$AB$13,""))))</f>
        <v/>
      </c>
      <c r="HI45" s="301">
        <v>47</v>
      </c>
      <c r="HJ45" s="5" t="str">
        <f t="shared" si="107"/>
        <v/>
      </c>
      <c r="HK45" s="95" t="str">
        <f t="shared" si="63"/>
        <v/>
      </c>
      <c r="HL45" s="5"/>
      <c r="HM45" s="95" t="str">
        <f t="shared" si="64"/>
        <v/>
      </c>
      <c r="HN45" s="1150">
        <v>7</v>
      </c>
      <c r="HO45" s="131" t="str">
        <f>IF($H39="",$D39,$H39)</f>
        <v>Gunter Bauer</v>
      </c>
      <c r="HP45" s="884" t="str">
        <f>M39</f>
        <v/>
      </c>
      <c r="HQ45" s="327" t="str">
        <f>IF($L39="","",$L39)</f>
        <v/>
      </c>
      <c r="HR45" s="327">
        <v>0.01</v>
      </c>
      <c r="HS45" s="458" t="str">
        <f t="shared" si="144"/>
        <v/>
      </c>
      <c r="HT45" s="327" t="e">
        <f>RANK(HS45,HS42:HS45)+COUNTIF(HS42:HS45,HS45)-1</f>
        <v>#VALUE!</v>
      </c>
      <c r="HU45" s="327" t="str">
        <f>IF(HQ45="",HO45,HO45&amp;" ("&amp;HQ45&amp;")")</f>
        <v>Gunter Bauer</v>
      </c>
      <c r="HV45" s="328">
        <v>4</v>
      </c>
      <c r="HW45" s="337" t="str">
        <f>IF(N36="","",VLOOKUP(HV45,HT42:HU45,2,FALSE))</f>
        <v/>
      </c>
      <c r="HX45" s="1150">
        <v>15</v>
      </c>
      <c r="HY45" s="131" t="str">
        <f>IF($W39="",$S39,$W39)</f>
        <v>Jan Klatovsky</v>
      </c>
      <c r="HZ45" s="327" t="str">
        <f>AB39</f>
        <v/>
      </c>
      <c r="IA45" s="327" t="str">
        <f>IF($AA39="","",$AA39)</f>
        <v/>
      </c>
      <c r="IB45" s="327">
        <v>0.01</v>
      </c>
      <c r="IC45" s="458" t="str">
        <f t="shared" si="145"/>
        <v/>
      </c>
      <c r="ID45" s="327" t="e">
        <f>RANK(IC45,IC42:IC45)+COUNTIF(IC42:IC45,IC45)-1</f>
        <v>#VALUE!</v>
      </c>
      <c r="IE45" s="327" t="str">
        <f>IF(IA45="",HY45,HY45&amp;" ("&amp;IA45&amp;")")</f>
        <v>Jan Klatovsky</v>
      </c>
      <c r="IF45" s="344">
        <v>4</v>
      </c>
      <c r="IG45" s="337" t="str">
        <f>IF(AC36="","",VLOOKUP(IF45,ID42:IE45,2,FALSE))</f>
        <v/>
      </c>
      <c r="IH45" s="1147">
        <v>7</v>
      </c>
      <c r="II45" s="362" t="str">
        <f>IF($AL39="",$AH39,$AL39)</f>
        <v/>
      </c>
      <c r="IJ45" s="338" t="str">
        <f>AQ39</f>
        <v/>
      </c>
      <c r="IK45" s="338" t="str">
        <f>IF($AP39="","",$AP39)</f>
        <v/>
      </c>
      <c r="IL45" s="327">
        <v>0.01</v>
      </c>
      <c r="IM45" s="338" t="str">
        <f>IF(IK45&lt;&gt;"",-1,IJ45)</f>
        <v/>
      </c>
      <c r="IN45" s="327" t="e">
        <f>RANK(IM45,IM42:IM45)+COUNTIF(IM42:IM45,IM45)-1</f>
        <v>#VALUE!</v>
      </c>
      <c r="IO45" s="338" t="str">
        <f>IF(IK45="",II45,II45&amp;" ("&amp;IK45&amp;")")</f>
        <v/>
      </c>
      <c r="IP45" s="351">
        <v>4</v>
      </c>
      <c r="IQ45" s="339" t="str">
        <f>IF($AQ$39="","",VLOOKUP($IP45,$IN$42:$IO$45,2,FALSE))</f>
        <v/>
      </c>
      <c r="JJ45" s="1335"/>
      <c r="JK45" s="876">
        <v>47</v>
      </c>
      <c r="JL45" s="879" t="str">
        <f t="shared" si="108"/>
        <v/>
      </c>
      <c r="JM45" s="662" t="str">
        <f t="shared" si="196"/>
        <v/>
      </c>
      <c r="JN45" s="869" t="str">
        <f>IF($AC12="","",IF(AND($S$13=JL$11,$U$13&lt;&gt;""),$U$13,IF(AND($S$13=JL$11,$AA$13&lt;&gt;""),$AA$13,IF($S$13=JL$11,$AB$13,""))))</f>
        <v/>
      </c>
      <c r="JO45" s="879" t="str">
        <f t="shared" si="109"/>
        <v/>
      </c>
      <c r="JP45" s="662" t="str">
        <f t="shared" si="197"/>
        <v/>
      </c>
      <c r="JQ45" s="869" t="str">
        <f>IF($AC12="","",IF(AND($S$13=JO$11,$U$13&lt;&gt;""),$U$13,IF(AND($S$13=JO$11,$AA$13&lt;&gt;""),$AA$13,IF($S$13=JO$11,$AB$13,""))))</f>
        <v/>
      </c>
      <c r="JR45" s="879" t="str">
        <f t="shared" si="198"/>
        <v/>
      </c>
      <c r="JS45" s="662" t="str">
        <f t="shared" si="199"/>
        <v/>
      </c>
      <c r="JT45" s="869" t="str">
        <f>IF($AC12="","",IF(AND($S$13=JR$11,$U$13&lt;&gt;""),$U$13,IF(AND($S$13=JR$11,$AA$13&lt;&gt;""),$AA$13,IF($S$13=JR$11,$AB$13,""))))</f>
        <v/>
      </c>
      <c r="JU45" s="879" t="str">
        <f t="shared" si="200"/>
        <v/>
      </c>
      <c r="JV45" s="662" t="str">
        <f t="shared" si="201"/>
        <v/>
      </c>
      <c r="JW45" s="869" t="str">
        <f>IF($AC12="","",IF(AND($S$13=JU$11,$U$13&lt;&gt;""),$U$13,IF(AND($S$13=JU$11,$AA$13&lt;&gt;""),$AA$13,IF($S$13=JU$11,$AB$13,""))))</f>
        <v/>
      </c>
      <c r="JX45" s="879" t="str">
        <f t="shared" si="202"/>
        <v/>
      </c>
      <c r="JY45" s="662" t="str">
        <f t="shared" si="203"/>
        <v/>
      </c>
      <c r="JZ45" s="869" t="str">
        <f>IF($AC12="","",IF(AND($S$13=JX$11,$U$13&lt;&gt;""),$U$13,IF(AND($S$13=JX$11,$AA$13&lt;&gt;""),$AA$13,IF($S$13=JX$11,$AB$13,""))))</f>
        <v/>
      </c>
      <c r="KA45" s="879" t="str">
        <f t="shared" si="204"/>
        <v/>
      </c>
      <c r="KB45" s="662" t="str">
        <f t="shared" si="205"/>
        <v/>
      </c>
      <c r="KC45" s="869" t="str">
        <f>IF($AC12="","",IF(AND($S$13=KA$11,$U$13&lt;&gt;""),$U$13,IF(AND($S$13=KA$11,$AA$13&lt;&gt;""),$AA$13,IF($S$13=KA$11,$AB$13,""))))</f>
        <v/>
      </c>
      <c r="KD45" s="879" t="str">
        <f t="shared" si="206"/>
        <v/>
      </c>
      <c r="KE45" s="662" t="str">
        <f t="shared" si="207"/>
        <v/>
      </c>
      <c r="KF45" s="869" t="str">
        <f>IF($AC12="","",IF(AND($S$13=KD$11,$U$13&lt;&gt;""),$U$13,IF(AND($S$13=KD$11,$AA$13&lt;&gt;""),$AA$13,IF($S$13=KD$11,$AB$13,""))))</f>
        <v/>
      </c>
      <c r="KG45" s="879" t="str">
        <f t="shared" si="208"/>
        <v/>
      </c>
      <c r="KH45" s="662" t="str">
        <f t="shared" si="209"/>
        <v/>
      </c>
      <c r="KI45" s="869" t="str">
        <f>IF($AC12="","",IF(AND($S$13=KG$11,$U$13&lt;&gt;""),$U$13,IF(AND($S$13=KG$11,$AA$13&lt;&gt;""),$AA$13,IF($S$13=KG$11,$AB$13,""))))</f>
        <v/>
      </c>
      <c r="KJ45" s="879" t="str">
        <f t="shared" si="210"/>
        <v/>
      </c>
      <c r="KK45" s="662" t="str">
        <f t="shared" si="211"/>
        <v/>
      </c>
      <c r="KL45" s="869" t="str">
        <f>IF($AC12="","",IF(AND($S$13=KJ$11,$U$13&lt;&gt;""),$U$13,IF(AND($S$13=KJ$11,$AA$13&lt;&gt;""),$AA$13,IF($S$13=KJ$11,$AB$13,""))))</f>
        <v/>
      </c>
      <c r="KM45" s="879" t="str">
        <f t="shared" si="212"/>
        <v/>
      </c>
      <c r="KN45" s="662" t="str">
        <f t="shared" si="213"/>
        <v/>
      </c>
      <c r="KO45" s="869" t="str">
        <f>IF($AC12="","",IF(AND($S$13=KM$11,$U$13&lt;&gt;""),$U$13,IF(AND($S$13=KM$11,$AA$13&lt;&gt;""),$AA$13,IF($S$13=KM$11,$AB$13,""))))</f>
        <v/>
      </c>
      <c r="KP45" s="879" t="str">
        <f t="shared" si="214"/>
        <v/>
      </c>
      <c r="KQ45" s="662" t="str">
        <f t="shared" si="215"/>
        <v/>
      </c>
      <c r="KR45" s="869" t="str">
        <f>IF($AC12="","",IF(AND($S$13=KP$11,$U$13&lt;&gt;""),$U$13,IF(AND($S$13=KP$11,$AA$13&lt;&gt;""),$AA$13,IF($S$13=KP$11,$AB$13,""))))</f>
        <v/>
      </c>
      <c r="KS45" s="879" t="str">
        <f t="shared" si="216"/>
        <v/>
      </c>
      <c r="KT45" s="662" t="str">
        <f t="shared" si="217"/>
        <v/>
      </c>
      <c r="KU45" s="869" t="str">
        <f>IF($AC12="","",IF(AND($S$13=KS$11,$U$13&lt;&gt;""),$U$13,IF(AND($S$13=KS$11,$AA$13&lt;&gt;""),$AA$13,IF($S$13=KS$11,$AB$13,""))))</f>
        <v/>
      </c>
      <c r="KV45" s="879" t="str">
        <f t="shared" si="218"/>
        <v/>
      </c>
      <c r="KW45" s="662" t="str">
        <f t="shared" si="219"/>
        <v/>
      </c>
      <c r="KX45" s="869" t="str">
        <f>IF($AC12="","",IF(AND($S$13=KV$11,$U$13&lt;&gt;""),$U$13,IF(AND($S$13=KV$11,$AA$13&lt;&gt;""),$AA$13,IF($S$13=KV$11,$AB$13,""))))</f>
        <v/>
      </c>
      <c r="KY45" s="879" t="str">
        <f t="shared" si="220"/>
        <v/>
      </c>
      <c r="KZ45" s="662" t="str">
        <f t="shared" si="221"/>
        <v/>
      </c>
      <c r="LA45" s="869" t="str">
        <f>IF($AC12="","",IF(AND($S$13=KY$11,$U$13&lt;&gt;""),$U$13,IF(AND($S$13=KY$11,$AA$13&lt;&gt;""),$AA$13,IF($S$13=KY$11,$AB$13,""))))</f>
        <v/>
      </c>
      <c r="LB45" s="879" t="str">
        <f t="shared" si="222"/>
        <v/>
      </c>
      <c r="LC45" s="662" t="str">
        <f t="shared" si="223"/>
        <v/>
      </c>
      <c r="LD45" s="869" t="str">
        <f>IF($AC12="","",IF(AND($S$13=LB$11,$U$13&lt;&gt;""),$U$13,IF(AND($S$13=LB$11,$AA$13&lt;&gt;""),$AA$13,IF($S$13=LB$11,$AB$13,""))))</f>
        <v/>
      </c>
      <c r="LE45" s="879" t="str">
        <f t="shared" si="224"/>
        <v/>
      </c>
      <c r="LF45" s="662" t="str">
        <f t="shared" si="225"/>
        <v/>
      </c>
      <c r="LG45" s="869" t="str">
        <f>IF($AC12="","",IF(AND($S$13=LE$11,$U$13&lt;&gt;""),$U$13,IF(AND($S$13=LE$11,$AA$13&lt;&gt;""),$AA$13,IF($S$13=LE$11,$AB$13,""))))</f>
        <v/>
      </c>
      <c r="LH45"/>
      <c r="LI45"/>
      <c r="LJ45"/>
      <c r="LK45"/>
      <c r="LL45"/>
      <c r="LM45"/>
    </row>
    <row r="46" spans="1:325" ht="12.75" customHeight="1" thickBot="1">
      <c r="D46" s="290"/>
      <c r="E46" s="290"/>
      <c r="F46" s="290"/>
      <c r="G46" s="290"/>
      <c r="AR46" s="1073"/>
      <c r="AS46" s="1074"/>
      <c r="AT46" s="1074"/>
      <c r="AU46" s="1074"/>
      <c r="AV46" s="1074"/>
      <c r="AW46" s="1075"/>
      <c r="AY46" s="1202"/>
      <c r="AZ46" s="1203"/>
      <c r="BA46" s="1203"/>
      <c r="BB46" s="1203"/>
      <c r="BC46" s="1203"/>
      <c r="BD46" s="1203"/>
      <c r="BE46" s="1203"/>
      <c r="BF46" s="1204"/>
      <c r="CG46" s="1187" t="s">
        <v>157</v>
      </c>
      <c r="CH46" s="1188"/>
      <c r="CI46" s="1189"/>
      <c r="CU46" s="1108" t="s">
        <v>214</v>
      </c>
      <c r="CV46" s="1109"/>
      <c r="CW46" s="1109"/>
      <c r="CX46" s="714"/>
      <c r="CY46" s="714"/>
      <c r="CZ46" s="714"/>
      <c r="DA46" s="714"/>
      <c r="DB46" s="714"/>
      <c r="DC46" s="714"/>
      <c r="DD46" s="1109" t="s">
        <v>14</v>
      </c>
      <c r="DE46" s="1109"/>
      <c r="DF46" s="1109" t="s">
        <v>15</v>
      </c>
      <c r="DG46" s="1109"/>
      <c r="DH46" s="1109" t="s">
        <v>17</v>
      </c>
      <c r="DI46" s="1109"/>
      <c r="DJ46" s="714"/>
      <c r="DK46" s="714"/>
      <c r="DL46" s="714" t="s">
        <v>215</v>
      </c>
      <c r="DM46" s="714"/>
      <c r="DN46" s="714"/>
      <c r="DO46" s="714"/>
      <c r="DP46" s="715"/>
      <c r="FE46" s="655">
        <f>IF($FD$28=1,VLOOKUP($FB$28,$AH$32:$AQ$39,10,FALSE),0)</f>
        <v>0</v>
      </c>
      <c r="FG46" s="658">
        <f>IF($AR$40="",0,IF($FF$28=2,VLOOKUP($FB$28,$AH$40:$AR$43,10,FALSE),0))</f>
        <v>0</v>
      </c>
      <c r="FL46" s="716"/>
      <c r="FM46" s="716"/>
      <c r="FN46"/>
      <c r="FO46"/>
      <c r="FP46"/>
      <c r="FQ46"/>
      <c r="FR46"/>
      <c r="FS46"/>
      <c r="FT46" s="1241" t="s">
        <v>211</v>
      </c>
      <c r="FU46" s="1242"/>
      <c r="FV46" s="1242"/>
      <c r="FW46" s="1242"/>
      <c r="FX46" s="1242"/>
      <c r="FY46" s="1242"/>
      <c r="FZ46" s="1242"/>
      <c r="GA46"/>
      <c r="GB46"/>
      <c r="GC46"/>
      <c r="GD46"/>
      <c r="GE46"/>
      <c r="GF46"/>
      <c r="GG46"/>
      <c r="GH46" s="290"/>
      <c r="GJ46" s="290"/>
      <c r="GW46" s="1144"/>
      <c r="GX46" s="230" t="str">
        <f>IF($AC$12="","",IF($JB$14=$GX$3,$JC$14,IF(AND($W$14=$GX$3,$AA$14&lt;&gt;""),$AA$14,IF(AND($W$14=$GX$3,$AA$14=""),$AB$14,""))))</f>
        <v/>
      </c>
      <c r="GY46" s="301">
        <v>46</v>
      </c>
      <c r="GZ46" s="5" t="str">
        <f t="shared" si="105"/>
        <v/>
      </c>
      <c r="HA46" s="95" t="str">
        <f t="shared" si="62"/>
        <v/>
      </c>
      <c r="HB46" s="5"/>
      <c r="HC46" s="95" t="str">
        <f t="shared" si="106"/>
        <v/>
      </c>
      <c r="HG46" s="1144"/>
      <c r="HH46" s="230" t="str">
        <f>IF($AC$12="","",IF($JB$14=$HH$3,$JC$14,IF(AND($W$14=$HH$3,$AA$14&lt;&gt;""),$AA$14,IF(AND($W$14=$HH$3,$AA$14=""),$AB$14,""))))</f>
        <v/>
      </c>
      <c r="HI46" s="301">
        <v>46</v>
      </c>
      <c r="HJ46" s="5" t="str">
        <f t="shared" si="107"/>
        <v/>
      </c>
      <c r="HK46" s="95" t="str">
        <f t="shared" si="63"/>
        <v/>
      </c>
      <c r="HL46" s="5"/>
      <c r="HM46" s="95" t="str">
        <f t="shared" si="64"/>
        <v/>
      </c>
      <c r="HN46" s="348" t="str">
        <f>IF($A39="","",$A39)</f>
        <v/>
      </c>
      <c r="HO46" s="132" t="str">
        <f>IF($H36&lt;&gt;"",$D36,IF($H37&lt;&gt;"",$D37,IF($H38&lt;&gt;"",$D38,IF($H39&lt;&gt;"",$D39,""))))</f>
        <v/>
      </c>
      <c r="HP46" s="885" t="str">
        <f>IF(HO46="","",VLOOKUP($HO46,$CW$3:$DB$18,3,FALSE))</f>
        <v/>
      </c>
      <c r="HQ46" s="338"/>
      <c r="HR46" s="338"/>
      <c r="HS46" s="338">
        <v>5</v>
      </c>
      <c r="HT46" s="338"/>
      <c r="HU46" s="132" t="str">
        <f>IF(HO46="","",HO46&amp;" ("&amp;HP46&amp;")")</f>
        <v/>
      </c>
      <c r="HV46" s="349">
        <v>5</v>
      </c>
      <c r="HW46" s="339" t="str">
        <f>IF(HU46="","",HU46)</f>
        <v/>
      </c>
      <c r="HX46" s="348" t="str">
        <f>IF($P39="","",$P39)</f>
        <v/>
      </c>
      <c r="HY46" s="132" t="str">
        <f>IF($W36&lt;&gt;"",$S36,IF($W37&lt;&gt;"",$S37,IF($W38&lt;&gt;"",$S38,IF($W39&lt;&gt;"",$S39,""))))</f>
        <v/>
      </c>
      <c r="HZ46" s="338" t="str">
        <f>IF(HY46="","",VLOOKUP($HY46,$CW$3:$DB$18,5,FALSE))</f>
        <v/>
      </c>
      <c r="IA46" s="338"/>
      <c r="IB46" s="338"/>
      <c r="IC46" s="338">
        <v>5</v>
      </c>
      <c r="ID46" s="338"/>
      <c r="IE46" s="132" t="str">
        <f>IF(HY46="","",HY46&amp;" ("&amp;HZ46&amp;")")</f>
        <v/>
      </c>
      <c r="IF46" s="351">
        <v>5</v>
      </c>
      <c r="IG46" s="339" t="str">
        <f>IF(IE46="","",IE46)</f>
        <v/>
      </c>
      <c r="IH46" s="363" t="str">
        <f>IF($AE39="","",$AE39)</f>
        <v/>
      </c>
      <c r="II46"/>
      <c r="IJ46"/>
      <c r="IK46"/>
      <c r="IL46"/>
      <c r="IM46"/>
      <c r="IN46"/>
      <c r="IO46"/>
      <c r="IP46"/>
      <c r="IQ46"/>
      <c r="JJ46" s="1335"/>
      <c r="JK46" s="876">
        <v>46</v>
      </c>
      <c r="JL46" s="879" t="str">
        <f t="shared" si="108"/>
        <v/>
      </c>
      <c r="JM46" s="662" t="str">
        <f t="shared" si="196"/>
        <v/>
      </c>
      <c r="JN46" s="869" t="str">
        <f>IF($AC12="","",IF(AND($S$14=JL$11,$U$14&lt;&gt;""),$U$14,IF(AND($S$14=JL$11,$AA$14&lt;&gt;""),$AA$14,IF($S$14=JL$11,$AB$14,""))))</f>
        <v/>
      </c>
      <c r="JO46" s="879" t="str">
        <f t="shared" si="109"/>
        <v/>
      </c>
      <c r="JP46" s="662" t="str">
        <f t="shared" si="197"/>
        <v/>
      </c>
      <c r="JQ46" s="869" t="str">
        <f>IF($AC12="","",IF(AND($S$14=JO$11,$U$14&lt;&gt;""),$U$14,IF(AND($S$14=JO$11,$AA$14&lt;&gt;""),$AA$14,IF($S$14=JO$11,$AB$14,""))))</f>
        <v/>
      </c>
      <c r="JR46" s="879" t="str">
        <f t="shared" si="198"/>
        <v/>
      </c>
      <c r="JS46" s="662" t="str">
        <f t="shared" si="199"/>
        <v/>
      </c>
      <c r="JT46" s="869" t="str">
        <f>IF($AC12="","",IF(AND($S$14=JR$11,$U$14&lt;&gt;""),$U$14,IF(AND($S$14=JR$11,$AA$14&lt;&gt;""),$AA$14,IF($S$14=JR$11,$AB$14,""))))</f>
        <v/>
      </c>
      <c r="JU46" s="879" t="str">
        <f t="shared" si="200"/>
        <v/>
      </c>
      <c r="JV46" s="662" t="str">
        <f t="shared" si="201"/>
        <v/>
      </c>
      <c r="JW46" s="869" t="str">
        <f>IF($AC12="","",IF(AND($S$14=JU$11,$U$14&lt;&gt;""),$U$14,IF(AND($S$14=JU$11,$AA$14&lt;&gt;""),$AA$14,IF($S$14=JU$11,$AB$14,""))))</f>
        <v/>
      </c>
      <c r="JX46" s="879" t="str">
        <f t="shared" si="202"/>
        <v/>
      </c>
      <c r="JY46" s="662" t="str">
        <f t="shared" si="203"/>
        <v/>
      </c>
      <c r="JZ46" s="869" t="str">
        <f>IF($AC12="","",IF(AND($S$14=JX$11,$U$14&lt;&gt;""),$U$14,IF(AND($S$14=JX$11,$AA$14&lt;&gt;""),$AA$14,IF($S$14=JX$11,$AB$14,""))))</f>
        <v/>
      </c>
      <c r="KA46" s="879" t="str">
        <f t="shared" si="204"/>
        <v/>
      </c>
      <c r="KB46" s="662" t="str">
        <f t="shared" si="205"/>
        <v/>
      </c>
      <c r="KC46" s="869" t="str">
        <f>IF($AC12="","",IF(AND($S$14=KA$11,$U$14&lt;&gt;""),$U$14,IF(AND($S$14=KA$11,$AA$14&lt;&gt;""),$AA$14,IF($S$14=KA$11,$AB$14,""))))</f>
        <v/>
      </c>
      <c r="KD46" s="879" t="str">
        <f t="shared" si="206"/>
        <v/>
      </c>
      <c r="KE46" s="662" t="str">
        <f t="shared" si="207"/>
        <v/>
      </c>
      <c r="KF46" s="869" t="str">
        <f>IF($AC12="","",IF(AND($S$14=KD$11,$U$14&lt;&gt;""),$U$14,IF(AND($S$14=KD$11,$AA$14&lt;&gt;""),$AA$14,IF($S$14=KD$11,$AB$14,""))))</f>
        <v/>
      </c>
      <c r="KG46" s="879" t="str">
        <f t="shared" si="208"/>
        <v/>
      </c>
      <c r="KH46" s="662" t="str">
        <f t="shared" si="209"/>
        <v/>
      </c>
      <c r="KI46" s="869" t="str">
        <f>IF($AC12="","",IF(AND($S$14=KG$11,$U$14&lt;&gt;""),$U$14,IF(AND($S$14=KG$11,$AA$14&lt;&gt;""),$AA$14,IF($S$14=KG$11,$AB$14,""))))</f>
        <v/>
      </c>
      <c r="KJ46" s="879" t="str">
        <f t="shared" si="210"/>
        <v/>
      </c>
      <c r="KK46" s="662" t="str">
        <f t="shared" si="211"/>
        <v/>
      </c>
      <c r="KL46" s="869" t="str">
        <f>IF($AC12="","",IF(AND($S$14=KJ$11,$U$14&lt;&gt;""),$U$14,IF(AND($S$14=KJ$11,$AA$14&lt;&gt;""),$AA$14,IF($S$14=KJ$11,$AB$14,""))))</f>
        <v/>
      </c>
      <c r="KM46" s="879" t="str">
        <f t="shared" si="212"/>
        <v/>
      </c>
      <c r="KN46" s="662" t="str">
        <f t="shared" si="213"/>
        <v/>
      </c>
      <c r="KO46" s="869" t="str">
        <f>IF($AC12="","",IF(AND($S$14=KM$11,$U$14&lt;&gt;""),$U$14,IF(AND($S$14=KM$11,$AA$14&lt;&gt;""),$AA$14,IF($S$14=KM$11,$AB$14,""))))</f>
        <v/>
      </c>
      <c r="KP46" s="879" t="str">
        <f t="shared" si="214"/>
        <v/>
      </c>
      <c r="KQ46" s="662" t="str">
        <f t="shared" si="215"/>
        <v/>
      </c>
      <c r="KR46" s="869" t="str">
        <f>IF($AC12="","",IF(AND($S$14=KP$11,$U$14&lt;&gt;""),$U$14,IF(AND($S$14=KP$11,$AA$14&lt;&gt;""),$AA$14,IF($S$14=KP$11,$AB$14,""))))</f>
        <v/>
      </c>
      <c r="KS46" s="879" t="str">
        <f t="shared" si="216"/>
        <v/>
      </c>
      <c r="KT46" s="662" t="str">
        <f t="shared" si="217"/>
        <v/>
      </c>
      <c r="KU46" s="869" t="str">
        <f>IF($AC12="","",IF(AND($S$14=KS$11,$U$14&lt;&gt;""),$U$14,IF(AND($S$14=KS$11,$AA$14&lt;&gt;""),$AA$14,IF($S$14=KS$11,$AB$14,""))))</f>
        <v/>
      </c>
      <c r="KV46" s="879" t="str">
        <f t="shared" si="218"/>
        <v/>
      </c>
      <c r="KW46" s="662" t="str">
        <f t="shared" si="219"/>
        <v/>
      </c>
      <c r="KX46" s="869" t="str">
        <f>IF($AC12="","",IF(AND($S$14=KV$11,$U$14&lt;&gt;""),$U$14,IF(AND($S$14=KV$11,$AA$14&lt;&gt;""),$AA$14,IF($S$14=KV$11,$AB$14,""))))</f>
        <v/>
      </c>
      <c r="KY46" s="879" t="str">
        <f t="shared" si="220"/>
        <v/>
      </c>
      <c r="KZ46" s="662" t="str">
        <f t="shared" si="221"/>
        <v/>
      </c>
      <c r="LA46" s="869" t="str">
        <f>IF($AC12="","",IF(AND($S$14=KY$11,$U$14&lt;&gt;""),$U$14,IF(AND($S$14=KY$11,$AA$14&lt;&gt;""),$AA$14,IF($S$14=KY$11,$AB$14,""))))</f>
        <v/>
      </c>
      <c r="LB46" s="879" t="str">
        <f t="shared" si="222"/>
        <v/>
      </c>
      <c r="LC46" s="662" t="str">
        <f t="shared" si="223"/>
        <v/>
      </c>
      <c r="LD46" s="869" t="str">
        <f>IF($AC12="","",IF(AND($S$14=LB$11,$U$14&lt;&gt;""),$U$14,IF(AND($S$14=LB$11,$AA$14&lt;&gt;""),$AA$14,IF($S$14=LB$11,$AB$14,""))))</f>
        <v/>
      </c>
      <c r="LE46" s="879" t="str">
        <f t="shared" si="224"/>
        <v/>
      </c>
      <c r="LF46" s="662" t="str">
        <f t="shared" si="225"/>
        <v/>
      </c>
      <c r="LG46" s="869" t="str">
        <f>IF($AC12="","",IF(AND($S$14=LE$11,$U$14&lt;&gt;""),$U$14,IF(AND($S$14=LE$11,$AA$14&lt;&gt;""),$AA$14,IF($S$14=LE$11,$AB$14,""))))</f>
        <v/>
      </c>
      <c r="LH46"/>
      <c r="LI46"/>
      <c r="LJ46"/>
      <c r="LK46"/>
      <c r="LL46"/>
      <c r="LM46"/>
    </row>
    <row r="47" spans="1:325" ht="12.75" customHeight="1" thickBot="1">
      <c r="D47" s="290"/>
      <c r="E47" s="290"/>
      <c r="F47" s="290"/>
      <c r="G47" s="290"/>
      <c r="AR47" s="1076"/>
      <c r="AS47" s="1077"/>
      <c r="AT47" s="1077"/>
      <c r="AU47" s="1077"/>
      <c r="AV47" s="1077"/>
      <c r="AW47" s="1078"/>
      <c r="AY47" s="1205"/>
      <c r="AZ47" s="1206"/>
      <c r="BA47" s="1206"/>
      <c r="BB47" s="1206"/>
      <c r="BC47" s="1206"/>
      <c r="BD47" s="1206"/>
      <c r="BE47" s="1206"/>
      <c r="BF47" s="1207"/>
      <c r="CG47" s="762">
        <v>1</v>
      </c>
      <c r="CH47" s="770" t="str">
        <f t="shared" ref="CH47:CH64" si="226">VLOOKUP($CG47,$EZ$66:$FC$83,3,FALSE)</f>
        <v>Daniil Ivanov</v>
      </c>
      <c r="CI47" s="496">
        <f t="shared" ref="CI47:CI64" si="227">VLOOKUP($CG47,$EZ$66:$FC$83,4,FALSE)</f>
        <v>0</v>
      </c>
      <c r="CU47" s="13">
        <f>RANK(DP47,DP$47:DP$64)</f>
        <v>9</v>
      </c>
      <c r="CV47" s="13">
        <f t="shared" ref="CV47:CZ62" si="228">CV27</f>
        <v>9</v>
      </c>
      <c r="CW47" s="13" t="str">
        <f t="shared" si="228"/>
        <v>Per-Anders Lindstrom</v>
      </c>
      <c r="CX47" s="13" t="str">
        <f t="shared" si="228"/>
        <v/>
      </c>
      <c r="CY47" s="13" t="str">
        <f t="shared" si="228"/>
        <v/>
      </c>
      <c r="CZ47" s="13" t="str">
        <f t="shared" si="228"/>
        <v/>
      </c>
      <c r="DC47" s="13">
        <f>SUM(CX47:DB47)</f>
        <v>0</v>
      </c>
      <c r="DD47" s="243">
        <f t="shared" ref="DD47:DD64" si="229">COUNTIF(CX47:DB47,3)</f>
        <v>0</v>
      </c>
      <c r="DE47" s="236">
        <f>IF(DD47=0,0,DD47/100)</f>
        <v>0</v>
      </c>
      <c r="DF47" s="232">
        <f t="shared" ref="DF47:DF64" si="230">COUNTIF(CX47:DB47,2)</f>
        <v>0</v>
      </c>
      <c r="DG47" s="234">
        <f>IF(DF47=0,0,DF47/1000)</f>
        <v>0</v>
      </c>
      <c r="DH47" s="232">
        <f t="shared" ref="DH47:DH64" si="231">COUNTIF(CX47:DB47,1)</f>
        <v>0</v>
      </c>
      <c r="DI47" s="41">
        <f>IF(DH47=0,0,DH47/10000)</f>
        <v>0</v>
      </c>
      <c r="DJ47" s="271">
        <f t="shared" ref="DJ47:DJ64" si="232">COUNTIF(CX47:DB47,0)</f>
        <v>0</v>
      </c>
      <c r="DK47" s="273">
        <f t="shared" ref="DK47:DK64" si="233">IF(DJ47=0,0,SUM(DJ47-GQ47)/100000)</f>
        <v>0</v>
      </c>
      <c r="DL47" s="281">
        <f>IF(EY3=0,0,EY3/1000000)</f>
        <v>0</v>
      </c>
      <c r="DM47" s="644">
        <f>DM3</f>
        <v>5.0999999999999999E-7</v>
      </c>
      <c r="DN47" s="495">
        <f t="shared" ref="DN47:DN64" si="234">SUM(DC47+DE47+DG47+DI47+DK47)</f>
        <v>0</v>
      </c>
      <c r="DO47" s="495">
        <f t="shared" ref="DO47:DO64" si="235">DN47+DL47</f>
        <v>0</v>
      </c>
      <c r="DP47" s="495">
        <f t="shared" ref="DP47:DP64" si="236">SUM(DO47+DM47)</f>
        <v>5.0999999999999999E-7</v>
      </c>
      <c r="FE47" s="655">
        <f>IF($FD$29=1,VLOOKUP($FB$29,$AH$32:$AQ$39,10,FALSE),0)</f>
        <v>0</v>
      </c>
      <c r="FG47" s="658">
        <f>IF($AR$40="",0,IF($FF$29=2,VLOOKUP($FB$29,$AH$40:$AR$43,10,FALSE),0))</f>
        <v>0</v>
      </c>
      <c r="FL47" s="716"/>
      <c r="FM47" s="716"/>
      <c r="FN47"/>
      <c r="FO47"/>
      <c r="FP47"/>
      <c r="FQ47"/>
      <c r="FR47"/>
      <c r="FS47"/>
      <c r="FT47" s="1242"/>
      <c r="FU47" s="1242"/>
      <c r="FV47" s="1242"/>
      <c r="FW47" s="1242"/>
      <c r="FX47" s="1242"/>
      <c r="FY47" s="1242"/>
      <c r="FZ47" s="1242"/>
      <c r="GA47"/>
      <c r="GB47"/>
      <c r="GC47"/>
      <c r="GD47"/>
      <c r="GE47"/>
      <c r="GF47"/>
      <c r="GG47"/>
      <c r="GW47" s="1145"/>
      <c r="GX47" s="231" t="str">
        <f>IF($AC$12="","",IF($JB$15=$GX$3,$JC$15,IF(AND($W$15=$GX$3,$AA$15&lt;&gt;""),$AA$15,IF(AND($W$15=$GX$3,$AA$15=""),$AB$15,""))))</f>
        <v/>
      </c>
      <c r="GY47" s="302">
        <v>45</v>
      </c>
      <c r="GZ47" s="303" t="str">
        <f t="shared" si="105"/>
        <v/>
      </c>
      <c r="HA47" s="98" t="str">
        <f t="shared" si="62"/>
        <v/>
      </c>
      <c r="HB47" s="303"/>
      <c r="HC47" s="98" t="str">
        <f t="shared" si="106"/>
        <v/>
      </c>
      <c r="HG47" s="1145"/>
      <c r="HH47" s="231" t="str">
        <f>IF($AC$12="","",IF($JB$15=$HH$3,$JC$15,IF(AND($W$15=$HH$3,$AA$15&lt;&gt;""),$AA$15,IF(AND($W$15=$HH$3,$AA$15=""),$AB$15,""))))</f>
        <v/>
      </c>
      <c r="HI47" s="302">
        <v>45</v>
      </c>
      <c r="HJ47" s="303" t="str">
        <f t="shared" si="107"/>
        <v/>
      </c>
      <c r="HK47" s="98" t="str">
        <f t="shared" si="63"/>
        <v/>
      </c>
      <c r="HL47" s="303"/>
      <c r="HM47" s="98" t="str">
        <f t="shared" si="64"/>
        <v/>
      </c>
      <c r="HN47" s="1149">
        <v>8</v>
      </c>
      <c r="HO47" s="145" t="str">
        <f>IF($H40="",$D40,$H40)</f>
        <v>Hans Weber</v>
      </c>
      <c r="HP47" s="887" t="str">
        <f>M40</f>
        <v/>
      </c>
      <c r="HQ47" s="352" t="str">
        <f>IF($L40="","",$L40)</f>
        <v/>
      </c>
      <c r="HR47" s="335">
        <v>0.04</v>
      </c>
      <c r="HS47" s="456" t="str">
        <f>IF(HQ47&lt;&gt;"",-1,HP47)</f>
        <v/>
      </c>
      <c r="HT47" s="457" t="e">
        <f>RANK(HS47,HS47:HS50)+COUNTIF(HS47:HS47,HS47)-1</f>
        <v>#VALUE!</v>
      </c>
      <c r="HU47" s="352" t="str">
        <f>IF(HQ47="",HO47,HO47&amp;" ("&amp;HQ47&amp;")")</f>
        <v>Hans Weber</v>
      </c>
      <c r="HV47" s="353">
        <v>1</v>
      </c>
      <c r="HW47" s="336" t="str">
        <f>IF(N40="","",VLOOKUP(HV47,HT47:HU50,2,FALSE))</f>
        <v/>
      </c>
      <c r="HX47" s="1149">
        <v>16</v>
      </c>
      <c r="HY47" s="145" t="str">
        <f>IF($W40="",$S40,$W40)</f>
        <v>Stefan Pletschacher</v>
      </c>
      <c r="HZ47" s="352" t="str">
        <f>AB40</f>
        <v/>
      </c>
      <c r="IA47" s="352" t="str">
        <f>IF($AA40="","",$AA40)</f>
        <v/>
      </c>
      <c r="IB47" s="335">
        <v>0.04</v>
      </c>
      <c r="IC47" s="456" t="str">
        <f>IF(IA47&lt;&gt;"",-1,HZ47)</f>
        <v/>
      </c>
      <c r="ID47" s="457" t="e">
        <f>RANK(IC47,IC47:IC50)+COUNTIF(IC47:IC47,IC47)-1</f>
        <v>#VALUE!</v>
      </c>
      <c r="IE47" s="352" t="str">
        <f>IF(IA47="",HY47,HY47&amp;" ("&amp;IA47&amp;")")</f>
        <v>Stefan Pletschacher</v>
      </c>
      <c r="IF47" s="354">
        <v>1</v>
      </c>
      <c r="IG47" s="336" t="str">
        <f>IF(AC40="","",VLOOKUP(IF47,ID47:IE50,2,FALSE))</f>
        <v/>
      </c>
      <c r="IH47" s="1146" t="s">
        <v>22</v>
      </c>
      <c r="II47" s="360" t="str">
        <f>IF($AL40="",$AH40,$AL40)</f>
        <v/>
      </c>
      <c r="IJ47" s="888" t="str">
        <f>AQ40</f>
        <v/>
      </c>
      <c r="IK47" s="335" t="str">
        <f>IF($AP40="","",$AP40)</f>
        <v/>
      </c>
      <c r="IL47" s="335">
        <v>0.04</v>
      </c>
      <c r="IM47" s="335" t="str">
        <f>IF(IK47&lt;&gt;"",-1,IJ47)</f>
        <v/>
      </c>
      <c r="IN47" s="457" t="e">
        <f>RANK(IM47,IM47:IM50)+COUNTIF(IM47:IM47,IM47)-1</f>
        <v>#VALUE!</v>
      </c>
      <c r="IO47" s="335" t="str">
        <f>IF(IK47="",II47,II47&amp;" ("&amp;IK47&amp;")")</f>
        <v/>
      </c>
      <c r="IP47" s="350">
        <v>1</v>
      </c>
      <c r="IQ47" s="336" t="str">
        <f>IF($AR$40="","",VLOOKUP($IP47,IN$47:IO$51,2,FALSE))</f>
        <v/>
      </c>
      <c r="JJ47" s="1336"/>
      <c r="JK47" s="877">
        <v>45</v>
      </c>
      <c r="JL47" s="880" t="str">
        <f t="shared" si="108"/>
        <v/>
      </c>
      <c r="JM47" s="873" t="str">
        <f t="shared" si="196"/>
        <v/>
      </c>
      <c r="JN47" s="870" t="str">
        <f>IF($AC12="","",IF(AND($S$15=JL$11,$U$15&lt;&gt;""),$U$15,IF(AND($S$15=JL$11,$AA$15&lt;&gt;""),$AA$15,IF($S$15=JL$11,$AB$15,""))))</f>
        <v/>
      </c>
      <c r="JO47" s="880" t="str">
        <f t="shared" si="109"/>
        <v/>
      </c>
      <c r="JP47" s="873" t="str">
        <f t="shared" si="197"/>
        <v/>
      </c>
      <c r="JQ47" s="870" t="str">
        <f>IF($AC12="","",IF(AND($S$15=JO$11,$U$15&lt;&gt;""),$U$15,IF(AND($S$15=JO$11,$AA$15&lt;&gt;""),$AA$15,IF($S$15=JO$11,$AB$15,""))))</f>
        <v/>
      </c>
      <c r="JR47" s="880" t="str">
        <f t="shared" si="198"/>
        <v/>
      </c>
      <c r="JS47" s="873" t="str">
        <f t="shared" si="199"/>
        <v/>
      </c>
      <c r="JT47" s="870" t="str">
        <f>IF($AC12="","",IF(AND($S$15=JR$11,$U$15&lt;&gt;""),$U$15,IF(AND($S$15=JR$11,$AA$15&lt;&gt;""),$AA$15,IF($S$15=JR$11,$AB$15,""))))</f>
        <v/>
      </c>
      <c r="JU47" s="880" t="str">
        <f t="shared" si="200"/>
        <v/>
      </c>
      <c r="JV47" s="873" t="str">
        <f t="shared" si="201"/>
        <v/>
      </c>
      <c r="JW47" s="870" t="str">
        <f>IF($AC12="","",IF(AND($S$15=JU$11,$U$15&lt;&gt;""),$U$15,IF(AND($S$15=JU$11,$AA$15&lt;&gt;""),$AA$15,IF($S$15=JU$11,$AB$15,""))))</f>
        <v/>
      </c>
      <c r="JX47" s="880" t="str">
        <f t="shared" si="202"/>
        <v/>
      </c>
      <c r="JY47" s="873" t="str">
        <f t="shared" si="203"/>
        <v/>
      </c>
      <c r="JZ47" s="870" t="str">
        <f>IF($AC12="","",IF(AND($S$15=JX$11,$U$15&lt;&gt;""),$U$15,IF(AND($S$15=JX$11,$AA$15&lt;&gt;""),$AA$15,IF($S$15=JX$11,$AB$15,""))))</f>
        <v/>
      </c>
      <c r="KA47" s="880" t="str">
        <f t="shared" si="204"/>
        <v/>
      </c>
      <c r="KB47" s="873" t="str">
        <f t="shared" si="205"/>
        <v/>
      </c>
      <c r="KC47" s="870" t="str">
        <f>IF($AC12="","",IF(AND($S$15=KA$11,$U$15&lt;&gt;""),$U$15,IF(AND($S$15=KA$11,$AA$15&lt;&gt;""),$AA$15,IF($S$15=KA$11,$AB$15,""))))</f>
        <v/>
      </c>
      <c r="KD47" s="880" t="str">
        <f t="shared" si="206"/>
        <v/>
      </c>
      <c r="KE47" s="873" t="str">
        <f t="shared" si="207"/>
        <v/>
      </c>
      <c r="KF47" s="870" t="str">
        <f>IF($AC12="","",IF(AND($S$15=KD$11,$U$15&lt;&gt;""),$U$15,IF(AND($S$15=KD$11,$AA$15&lt;&gt;""),$AA$15,IF($S$15=KD$11,$AB$15,""))))</f>
        <v/>
      </c>
      <c r="KG47" s="880" t="str">
        <f t="shared" si="208"/>
        <v/>
      </c>
      <c r="KH47" s="873" t="str">
        <f t="shared" si="209"/>
        <v/>
      </c>
      <c r="KI47" s="870" t="str">
        <f>IF($AC12="","",IF(AND($S$15=KG$11,$U$15&lt;&gt;""),$U$15,IF(AND($S$15=KG$11,$AA$15&lt;&gt;""),$AA$15,IF($S$15=KG$11,$AB$15,""))))</f>
        <v/>
      </c>
      <c r="KJ47" s="880" t="str">
        <f t="shared" si="210"/>
        <v/>
      </c>
      <c r="KK47" s="873" t="str">
        <f t="shared" si="211"/>
        <v/>
      </c>
      <c r="KL47" s="870" t="str">
        <f>IF($AC12="","",IF(AND($S$15=KJ$11,$U$15&lt;&gt;""),$U$15,IF(AND($S$15=KJ$11,$AA$15&lt;&gt;""),$AA$15,IF($S$15=KJ$11,$AB$15,""))))</f>
        <v/>
      </c>
      <c r="KM47" s="880" t="str">
        <f t="shared" si="212"/>
        <v/>
      </c>
      <c r="KN47" s="873" t="str">
        <f t="shared" si="213"/>
        <v/>
      </c>
      <c r="KO47" s="870" t="str">
        <f>IF($AC12="","",IF(AND($S$15=KM$11,$U$15&lt;&gt;""),$U$15,IF(AND($S$15=KM$11,$AA$15&lt;&gt;""),$AA$15,IF($S$15=KM$11,$AB$15,""))))</f>
        <v/>
      </c>
      <c r="KP47" s="880" t="str">
        <f t="shared" si="214"/>
        <v/>
      </c>
      <c r="KQ47" s="873" t="str">
        <f t="shared" si="215"/>
        <v/>
      </c>
      <c r="KR47" s="870" t="str">
        <f>IF($AC12="","",IF(AND($S$15=KP$11,$U$15&lt;&gt;""),$U$15,IF(AND($S$15=KP$11,$AA$15&lt;&gt;""),$AA$15,IF($S$15=KP$11,$AB$15,""))))</f>
        <v/>
      </c>
      <c r="KS47" s="880" t="str">
        <f t="shared" si="216"/>
        <v/>
      </c>
      <c r="KT47" s="873" t="str">
        <f t="shared" si="217"/>
        <v/>
      </c>
      <c r="KU47" s="870" t="str">
        <f>IF($AC12="","",IF(AND($S$15=KS$11,$U$15&lt;&gt;""),$U$15,IF(AND($S$15=KS$11,$AA$15&lt;&gt;""),$AA$15,IF($S$15=KS$11,$AB$15,""))))</f>
        <v/>
      </c>
      <c r="KV47" s="880" t="str">
        <f t="shared" si="218"/>
        <v/>
      </c>
      <c r="KW47" s="873" t="str">
        <f t="shared" si="219"/>
        <v/>
      </c>
      <c r="KX47" s="870" t="str">
        <f>IF($AC12="","",IF(AND($S$15=KV$11,$U$15&lt;&gt;""),$U$15,IF(AND($S$15=KV$11,$AA$15&lt;&gt;""),$AA$15,IF($S$15=KV$11,$AB$15,""))))</f>
        <v/>
      </c>
      <c r="KY47" s="880" t="str">
        <f t="shared" si="220"/>
        <v/>
      </c>
      <c r="KZ47" s="873" t="str">
        <f t="shared" si="221"/>
        <v/>
      </c>
      <c r="LA47" s="870" t="str">
        <f>IF($AC12="","",IF(AND($S$15=KY$11,$U$15&lt;&gt;""),$U$15,IF(AND($S$15=KY$11,$AA$15&lt;&gt;""),$AA$15,IF($S$15=KY$11,$AB$15,""))))</f>
        <v/>
      </c>
      <c r="LB47" s="880" t="str">
        <f t="shared" si="222"/>
        <v/>
      </c>
      <c r="LC47" s="873" t="str">
        <f t="shared" si="223"/>
        <v/>
      </c>
      <c r="LD47" s="870" t="str">
        <f>IF($AC12="","",IF(AND($S$15=LB$11,$U$15&lt;&gt;""),$U$15,IF(AND($S$15=LB$11,$AA$15&lt;&gt;""),$AA$15,IF($S$15=LB$11,$AB$15,""))))</f>
        <v/>
      </c>
      <c r="LE47" s="880" t="str">
        <f t="shared" si="224"/>
        <v/>
      </c>
      <c r="LF47" s="873" t="str">
        <f t="shared" si="225"/>
        <v/>
      </c>
      <c r="LG47" s="870" t="str">
        <f>IF($AC12="","",IF(AND($S$15=LE$11,$U$15&lt;&gt;""),$U$15,IF(AND($S$15=LE$11,$AA$15&lt;&gt;""),$AA$15,IF($S$15=LE$11,$AB$15,""))))</f>
        <v/>
      </c>
      <c r="LH47"/>
      <c r="LI47"/>
      <c r="LJ47"/>
      <c r="LK47"/>
      <c r="LL47"/>
      <c r="LM47"/>
    </row>
    <row r="48" spans="1:325" ht="12.75" customHeight="1">
      <c r="D48" s="290"/>
      <c r="E48" s="290"/>
      <c r="F48" s="290"/>
      <c r="G48" s="290"/>
      <c r="BK48" s="439"/>
      <c r="BL48" s="440" t="e">
        <f>RANK(BX48,BX$48:BX$51)+COUNTIF(BX$48:BX51,BX48)-1</f>
        <v>#N/A</v>
      </c>
      <c r="BM48" s="440">
        <v>1</v>
      </c>
      <c r="BN48" s="441" t="str">
        <f>IF(AQ$32=3,AH$32,IF(AQ$33=3,AH$33,IF(AQ$34=3,AH$34,IF(AQ$35=3,AH$35,""))))</f>
        <v/>
      </c>
      <c r="BO48" s="440"/>
      <c r="BP48" s="440"/>
      <c r="BQ48" s="440"/>
      <c r="BR48" s="442"/>
      <c r="BS48" s="490" t="str">
        <f>IF(BN48="","",VLOOKUP(BN48,$AV$12:$BB$27,7,FALSE))</f>
        <v/>
      </c>
      <c r="BT48" s="8">
        <v>3</v>
      </c>
      <c r="BU48" s="8">
        <f>SUM(BS48:BT48)</f>
        <v>3</v>
      </c>
      <c r="BV48" s="8">
        <f>COUNTIF(BU$48:BU$51,BU48)</f>
        <v>2</v>
      </c>
      <c r="BW48" s="8" t="e">
        <f>IF(BV48=1,0,VLOOKUP(BN48,$AV$12:$BI$29,14,FALSE))</f>
        <v>#N/A</v>
      </c>
      <c r="BX48" s="975" t="e">
        <f>SUM(BU48+SUM(BW48/1000))</f>
        <v>#N/A</v>
      </c>
      <c r="CG48" s="762">
        <v>2</v>
      </c>
      <c r="CH48" s="770" t="str">
        <f t="shared" si="226"/>
        <v>Dimitry Koltakov</v>
      </c>
      <c r="CI48" s="496">
        <f t="shared" si="227"/>
        <v>0</v>
      </c>
      <c r="CU48" s="13">
        <f t="shared" ref="CU48:CU64" si="237">RANK(DP48,DP$47:DP$64)</f>
        <v>3</v>
      </c>
      <c r="CV48" s="13">
        <f t="shared" si="228"/>
        <v>3</v>
      </c>
      <c r="CW48" s="13" t="str">
        <f t="shared" si="228"/>
        <v>Dimitry Khomitsevich</v>
      </c>
      <c r="CX48" s="13" t="str">
        <f t="shared" si="228"/>
        <v/>
      </c>
      <c r="CY48" s="13" t="str">
        <f t="shared" si="228"/>
        <v/>
      </c>
      <c r="CZ48" s="13" t="str">
        <f t="shared" si="228"/>
        <v/>
      </c>
      <c r="DC48" s="13">
        <f t="shared" ref="DC48:DC64" si="238">SUM(CX48:DB48)</f>
        <v>0</v>
      </c>
      <c r="DD48" s="243">
        <f t="shared" si="229"/>
        <v>0</v>
      </c>
      <c r="DE48" s="236">
        <f t="shared" ref="DE48:DE64" si="239">IF(DD48=0,0,DD48/100)</f>
        <v>0</v>
      </c>
      <c r="DF48" s="232">
        <f t="shared" si="230"/>
        <v>0</v>
      </c>
      <c r="DG48" s="234">
        <f t="shared" ref="DG48:DG64" si="240">IF(DF48=0,0,DF48/1000)</f>
        <v>0</v>
      </c>
      <c r="DH48" s="232">
        <f t="shared" si="231"/>
        <v>0</v>
      </c>
      <c r="DI48" s="41">
        <f t="shared" ref="DI48:DI64" si="241">IF(DH48=0,0,DH48/10000)</f>
        <v>0</v>
      </c>
      <c r="DJ48" s="271">
        <f t="shared" si="232"/>
        <v>0</v>
      </c>
      <c r="DK48" s="273">
        <f t="shared" si="233"/>
        <v>0</v>
      </c>
      <c r="DL48" s="281">
        <f t="shared" ref="DL48:DL64" si="242">IF(EY4=0,0,EY4/1000000)</f>
        <v>0</v>
      </c>
      <c r="DM48" s="643">
        <f t="shared" ref="DM48:DM64" si="243">DM4</f>
        <v>5.7000000000000005E-7</v>
      </c>
      <c r="DN48" s="284">
        <f t="shared" si="234"/>
        <v>0</v>
      </c>
      <c r="DO48" s="284">
        <f t="shared" si="235"/>
        <v>0</v>
      </c>
      <c r="DP48" s="284">
        <f t="shared" si="236"/>
        <v>5.7000000000000005E-7</v>
      </c>
      <c r="FE48" s="655">
        <f>IF($FD$30=1,VLOOKUP($FB$30,$AH$32:$AQ$39,10,FALSE),0)</f>
        <v>0</v>
      </c>
      <c r="FG48" s="658">
        <f>IF($AR$40="",0,IF($FF$30=2,VLOOKUP($FB$30,$AH$40:$AR$43,10,FALSE),0))</f>
        <v>0</v>
      </c>
      <c r="FL48" s="716"/>
      <c r="FM48" s="716"/>
      <c r="FN48"/>
      <c r="FO48"/>
      <c r="FP48"/>
      <c r="FQ48"/>
      <c r="FR48"/>
      <c r="FS48"/>
      <c r="FT48"/>
      <c r="FU48"/>
      <c r="FV48"/>
      <c r="FW48"/>
      <c r="FX48"/>
      <c r="FY48"/>
      <c r="FZ48"/>
      <c r="GA48"/>
      <c r="GB48"/>
      <c r="GC48"/>
      <c r="GD48"/>
      <c r="GE48"/>
      <c r="GF48"/>
      <c r="GG48"/>
      <c r="GW48" s="1143">
        <v>10</v>
      </c>
      <c r="GX48" s="229" t="str">
        <f>IF($AC$16="","",IF($JB$16=$GX$3,$JC$16,IF(AND($W$16=$GX$3,$AA$16&lt;&gt;""),$AA$16,IF(AND($W$16=$GX$3,$AA$16=""),$AB$16,""))))</f>
        <v/>
      </c>
      <c r="GY48" s="299">
        <v>44</v>
      </c>
      <c r="GZ48" s="300" t="str">
        <f t="shared" si="105"/>
        <v/>
      </c>
      <c r="HA48" s="93" t="str">
        <f t="shared" si="62"/>
        <v/>
      </c>
      <c r="HB48" s="300"/>
      <c r="HC48" s="93" t="str">
        <f t="shared" si="106"/>
        <v/>
      </c>
      <c r="HG48" s="1143">
        <v>10</v>
      </c>
      <c r="HH48" s="229" t="str">
        <f>IF($AC$16="","",IF($JB$16=$HH$3,$JC$16,IF(AND($W$16=$HH$3,$AA$16&lt;&gt;""),$AA$16,IF(AND($W$16=$HH$3,$AA$16=""),$AB$16,""))))</f>
        <v/>
      </c>
      <c r="HI48" s="299">
        <v>44</v>
      </c>
      <c r="HJ48" s="300" t="str">
        <f t="shared" si="107"/>
        <v/>
      </c>
      <c r="HK48" s="93" t="str">
        <f t="shared" si="63"/>
        <v/>
      </c>
      <c r="HL48" s="300"/>
      <c r="HM48" s="93" t="str">
        <f t="shared" si="64"/>
        <v/>
      </c>
      <c r="HN48" s="1149"/>
      <c r="HO48" s="131" t="str">
        <f>IF($H41="",$D41,$H41)</f>
        <v>Dimitry Koltakov</v>
      </c>
      <c r="HP48" s="884" t="str">
        <f>M41</f>
        <v/>
      </c>
      <c r="HQ48" s="327" t="str">
        <f>IF($L41="","",$L41)</f>
        <v/>
      </c>
      <c r="HR48" s="327">
        <v>0.03</v>
      </c>
      <c r="HS48" s="458" t="str">
        <f t="shared" si="144"/>
        <v/>
      </c>
      <c r="HT48" s="327" t="e">
        <f>RANK(HS48,HS47:HS50)+COUNTIF(HS47:HS48,HS48)-1</f>
        <v>#VALUE!</v>
      </c>
      <c r="HU48" s="327" t="str">
        <f>IF(HQ48="",HO48,HO48&amp;" ("&amp;HQ48&amp;")")</f>
        <v>Dimitry Koltakov</v>
      </c>
      <c r="HV48" s="328">
        <v>2</v>
      </c>
      <c r="HW48" s="337" t="str">
        <f>IF(N40="","",VLOOKUP(HV48,HT47:HU50,2,FALSE))</f>
        <v/>
      </c>
      <c r="HX48" s="1149"/>
      <c r="HY48" s="131" t="str">
        <f>IF($W41="",$S41,$W41)</f>
        <v>Stefan Svensson</v>
      </c>
      <c r="HZ48" s="327" t="str">
        <f>AB41</f>
        <v/>
      </c>
      <c r="IA48" s="327" t="str">
        <f>IF($AA41="","",$AA41)</f>
        <v/>
      </c>
      <c r="IB48" s="327">
        <v>0.03</v>
      </c>
      <c r="IC48" s="458" t="str">
        <f t="shared" si="145"/>
        <v/>
      </c>
      <c r="ID48" s="327" t="e">
        <f>RANK(IC48,IC47:IC50)+COUNTIF(IC47:IC48,IC48)-1</f>
        <v>#VALUE!</v>
      </c>
      <c r="IE48" s="327" t="str">
        <f>IF(IA48="",HY48,HY48&amp;" ("&amp;IA48&amp;")")</f>
        <v>Stefan Svensson</v>
      </c>
      <c r="IF48" s="344">
        <v>2</v>
      </c>
      <c r="IG48" s="337" t="str">
        <f>IF(AC40="","",VLOOKUP(IF48,ID47:IE50,2,FALSE))</f>
        <v/>
      </c>
      <c r="IH48" s="1147"/>
      <c r="II48" s="361" t="str">
        <f>IF($AL41="",$AH41,$AL41)</f>
        <v/>
      </c>
      <c r="IJ48" s="327" t="str">
        <f>AQ41</f>
        <v/>
      </c>
      <c r="IK48" s="327" t="str">
        <f>IF($AP41="","",$AP41)</f>
        <v/>
      </c>
      <c r="IL48" s="327">
        <v>0.03</v>
      </c>
      <c r="IM48" s="327" t="str">
        <f>IF(IK48&lt;&gt;"",-1,IJ48)</f>
        <v/>
      </c>
      <c r="IN48" s="327" t="e">
        <f>RANK(IM48,IM47:IM50)+COUNTIF(IM47:IM48,IM48)-1</f>
        <v>#VALUE!</v>
      </c>
      <c r="IO48" s="327" t="str">
        <f>IF(IK48="",II48,II48&amp;" ("&amp;IK48&amp;")")</f>
        <v/>
      </c>
      <c r="IP48" s="344">
        <v>2</v>
      </c>
      <c r="IQ48" s="337" t="str">
        <f>IF($AR$40="","",VLOOKUP($IP48,IN$47:IO$51,2,FALSE))</f>
        <v/>
      </c>
      <c r="JJ48" s="1334">
        <v>10</v>
      </c>
      <c r="JK48" s="875">
        <v>44</v>
      </c>
      <c r="JL48" s="878" t="str">
        <f t="shared" si="108"/>
        <v/>
      </c>
      <c r="JM48" s="871" t="str">
        <f t="shared" si="196"/>
        <v/>
      </c>
      <c r="JN48" s="868" t="str">
        <f>IF($AC$16="","",IF(AND($S$16=JL$11,$U$16&lt;&gt;""),$U$16,IF(AND($S$16=JL$11,$AA$16&lt;&gt;""),$AA$16,IF($S$16=JL$11,$AB$16,""))))</f>
        <v/>
      </c>
      <c r="JO48" s="878" t="str">
        <f t="shared" si="109"/>
        <v/>
      </c>
      <c r="JP48" s="871" t="str">
        <f t="shared" si="197"/>
        <v/>
      </c>
      <c r="JQ48" s="868" t="str">
        <f>IF($AC$16="","",IF(AND($S$16=JO$11,$U$16&lt;&gt;""),$U$16,IF(AND($S$16=JO$11,$AA$16&lt;&gt;""),$AA$16,IF($S$16=JO$11,$AB$16,""))))</f>
        <v/>
      </c>
      <c r="JR48" s="878" t="str">
        <f t="shared" si="198"/>
        <v/>
      </c>
      <c r="JS48" s="871" t="str">
        <f t="shared" si="199"/>
        <v/>
      </c>
      <c r="JT48" s="868" t="str">
        <f>IF($AC$16="","",IF(AND($S$16=JR$11,$U$16&lt;&gt;""),$U$16,IF(AND($S$16=JR$11,$AA$16&lt;&gt;""),$AA$16,IF($S$16=JR$11,$AB$16,""))))</f>
        <v/>
      </c>
      <c r="JU48" s="878" t="str">
        <f t="shared" si="200"/>
        <v/>
      </c>
      <c r="JV48" s="871" t="str">
        <f t="shared" si="201"/>
        <v/>
      </c>
      <c r="JW48" s="868" t="str">
        <f>IF($AC$16="","",IF(AND($S$16=JU$11,$U$16&lt;&gt;""),$U$16,IF(AND($S$16=JU$11,$AA$16&lt;&gt;""),$AA$16,IF($S$16=JU$11,$AB$16,""))))</f>
        <v/>
      </c>
      <c r="JX48" s="878" t="str">
        <f t="shared" si="202"/>
        <v/>
      </c>
      <c r="JY48" s="871" t="str">
        <f t="shared" si="203"/>
        <v/>
      </c>
      <c r="JZ48" s="868" t="str">
        <f>IF($AC$16="","",IF(AND($S$16=JX$11,$U$16&lt;&gt;""),$U$16,IF(AND($S$16=JX$11,$AA$16&lt;&gt;""),$AA$16,IF($S$16=JX$11,$AB$16,""))))</f>
        <v/>
      </c>
      <c r="KA48" s="878" t="str">
        <f t="shared" si="204"/>
        <v/>
      </c>
      <c r="KB48" s="871" t="str">
        <f t="shared" si="205"/>
        <v/>
      </c>
      <c r="KC48" s="868" t="str">
        <f>IF($AC$16="","",IF(AND($S$16=KA$11,$U$16&lt;&gt;""),$U$16,IF(AND($S$16=KA$11,$AA$16&lt;&gt;""),$AA$16,IF($S$16=KA$11,$AB$16,""))))</f>
        <v/>
      </c>
      <c r="KD48" s="878" t="str">
        <f t="shared" si="206"/>
        <v/>
      </c>
      <c r="KE48" s="871" t="str">
        <f t="shared" si="207"/>
        <v/>
      </c>
      <c r="KF48" s="868" t="str">
        <f>IF($AC$16="","",IF(AND($S$16=KD$11,$U$16&lt;&gt;""),$U$16,IF(AND($S$16=KD$11,$AA$16&lt;&gt;""),$AA$16,IF($S$16=KD$11,$AB$16,""))))</f>
        <v/>
      </c>
      <c r="KG48" s="878" t="str">
        <f t="shared" si="208"/>
        <v/>
      </c>
      <c r="KH48" s="871" t="str">
        <f t="shared" si="209"/>
        <v/>
      </c>
      <c r="KI48" s="868" t="str">
        <f>IF($AC$16="","",IF(AND($S$16=KG$11,$U$16&lt;&gt;""),$U$16,IF(AND($S$16=KG$11,$AA$16&lt;&gt;""),$AA$16,IF($S$16=KG$11,$AB$16,""))))</f>
        <v/>
      </c>
      <c r="KJ48" s="878" t="str">
        <f t="shared" si="210"/>
        <v/>
      </c>
      <c r="KK48" s="871" t="str">
        <f t="shared" si="211"/>
        <v/>
      </c>
      <c r="KL48" s="868" t="str">
        <f>IF($AC$16="","",IF(AND($S$16=KJ$11,$U$16&lt;&gt;""),$U$16,IF(AND($S$16=KJ$11,$AA$16&lt;&gt;""),$AA$16,IF($S$16=KJ$11,$AB$16,""))))</f>
        <v/>
      </c>
      <c r="KM48" s="878" t="str">
        <f t="shared" si="212"/>
        <v/>
      </c>
      <c r="KN48" s="871" t="str">
        <f t="shared" si="213"/>
        <v/>
      </c>
      <c r="KO48" s="868" t="str">
        <f>IF($AC$16="","",IF(AND($S$16=KM$11,$U$16&lt;&gt;""),$U$16,IF(AND($S$16=KM$11,$AA$16&lt;&gt;""),$AA$16,IF($S$16=KM$11,$AB$16,""))))</f>
        <v/>
      </c>
      <c r="KP48" s="878" t="str">
        <f t="shared" si="214"/>
        <v/>
      </c>
      <c r="KQ48" s="871" t="str">
        <f t="shared" si="215"/>
        <v/>
      </c>
      <c r="KR48" s="868" t="str">
        <f>IF($AC$16="","",IF(AND($S$16=KP$11,$U$16&lt;&gt;""),$U$16,IF(AND($S$16=KP$11,$AA$16&lt;&gt;""),$AA$16,IF($S$16=KP$11,$AB$16,""))))</f>
        <v/>
      </c>
      <c r="KS48" s="878" t="str">
        <f t="shared" si="216"/>
        <v/>
      </c>
      <c r="KT48" s="871" t="str">
        <f t="shared" si="217"/>
        <v/>
      </c>
      <c r="KU48" s="868" t="str">
        <f>IF($AC$16="","",IF(AND($S$16=KS$11,$U$16&lt;&gt;""),$U$16,IF(AND($S$16=KS$11,$AA$16&lt;&gt;""),$AA$16,IF($S$16=KS$11,$AB$16,""))))</f>
        <v/>
      </c>
      <c r="KV48" s="878" t="str">
        <f t="shared" si="218"/>
        <v/>
      </c>
      <c r="KW48" s="871" t="str">
        <f t="shared" si="219"/>
        <v/>
      </c>
      <c r="KX48" s="868" t="str">
        <f>IF($AC$16="","",IF(AND($S$16=KV$11,$U$16&lt;&gt;""),$U$16,IF(AND($S$16=KV$11,$AA$16&lt;&gt;""),$AA$16,IF($S$16=KV$11,$AB$16,""))))</f>
        <v/>
      </c>
      <c r="KY48" s="878" t="str">
        <f t="shared" si="220"/>
        <v/>
      </c>
      <c r="KZ48" s="871" t="str">
        <f t="shared" si="221"/>
        <v/>
      </c>
      <c r="LA48" s="868" t="str">
        <f>IF($AC$16="","",IF(AND($S$16=KY$11,$U$16&lt;&gt;""),$U$16,IF(AND($S$16=KY$11,$AA$16&lt;&gt;""),$AA$16,IF($S$16=KY$11,$AB$16,""))))</f>
        <v/>
      </c>
      <c r="LB48" s="878" t="str">
        <f t="shared" si="222"/>
        <v/>
      </c>
      <c r="LC48" s="871" t="str">
        <f t="shared" si="223"/>
        <v/>
      </c>
      <c r="LD48" s="868" t="str">
        <f>IF($AC$16="","",IF(AND($S$16=LB$11,$U$16&lt;&gt;""),$U$16,IF(AND($S$16=LB$11,$AA$16&lt;&gt;""),$AA$16,IF($S$16=LB$11,$AB$16,""))))</f>
        <v/>
      </c>
      <c r="LE48" s="878" t="str">
        <f t="shared" si="224"/>
        <v/>
      </c>
      <c r="LF48" s="871" t="str">
        <f t="shared" si="225"/>
        <v/>
      </c>
      <c r="LG48" s="868" t="str">
        <f>IF($AC$16="","",IF(AND($S$16=LE$11,$U$16&lt;&gt;""),$U$16,IF(AND($S$16=LE$11,$AA$16&lt;&gt;""),$AA$16,IF($S$16=LE$11,$AB$16,""))))</f>
        <v/>
      </c>
      <c r="LH48"/>
      <c r="LI48"/>
      <c r="LJ48"/>
      <c r="LK48"/>
      <c r="LL48"/>
      <c r="LM48"/>
    </row>
    <row r="49" spans="4:325">
      <c r="D49" s="8"/>
      <c r="E49" s="8"/>
      <c r="F49" s="8"/>
      <c r="G49" s="8"/>
      <c r="H49" s="8"/>
      <c r="M49" s="8"/>
      <c r="N49" s="8"/>
      <c r="S49" s="8"/>
      <c r="T49" s="8"/>
      <c r="U49" s="8"/>
      <c r="V49" s="8"/>
      <c r="W49" s="8"/>
      <c r="AH49" s="8"/>
      <c r="AI49" s="8"/>
      <c r="AJ49" s="8"/>
      <c r="AK49" s="8"/>
      <c r="BJ49" s="8"/>
      <c r="BK49" s="443"/>
      <c r="BL49" s="440" t="e">
        <f>RANK(BX49,BX$48:BX$51)+COUNTIF(BX$48:BX52,BX49)-1</f>
        <v>#N/A</v>
      </c>
      <c r="BM49" s="444">
        <v>2</v>
      </c>
      <c r="BN49" s="445" t="str">
        <f>IF(AQ$36=3,AH$36,IF(AQ$37=3,AH$37,IF(AQ$38=3,AH$38,IF(AQ$39=3,AH$39,""))))</f>
        <v/>
      </c>
      <c r="BO49" s="444"/>
      <c r="BP49" s="444"/>
      <c r="BQ49" s="444"/>
      <c r="BR49" s="446"/>
      <c r="BS49" s="490" t="str">
        <f>IF(BN49="","",VLOOKUP(BN49,$AV$12:$BB$27,7,FALSE))</f>
        <v/>
      </c>
      <c r="BT49" s="8">
        <v>3</v>
      </c>
      <c r="BU49" s="8">
        <f>SUM(BS49:BT49)</f>
        <v>3</v>
      </c>
      <c r="BV49" s="8">
        <f>COUNTIF(BU$48:BU$51,BU49)</f>
        <v>2</v>
      </c>
      <c r="BW49" s="8" t="e">
        <f>IF(BV49=1,0,VLOOKUP(BN49,$AV$12:$BI$29,14,FALSE))</f>
        <v>#N/A</v>
      </c>
      <c r="BX49" s="975" t="e">
        <f>SUM(BU49+SUM(BW49/1000))</f>
        <v>#N/A</v>
      </c>
      <c r="CG49" s="762">
        <v>3</v>
      </c>
      <c r="CH49" s="770" t="str">
        <f t="shared" si="226"/>
        <v>Dimitry Khomitsevich</v>
      </c>
      <c r="CI49" s="496">
        <f t="shared" si="227"/>
        <v>0</v>
      </c>
      <c r="CU49" s="13">
        <f t="shared" si="237"/>
        <v>10</v>
      </c>
      <c r="CV49" s="13">
        <f t="shared" si="228"/>
        <v>10</v>
      </c>
      <c r="CW49" s="13" t="str">
        <f t="shared" si="228"/>
        <v>Franz Zorn</v>
      </c>
      <c r="CX49" s="13" t="str">
        <f t="shared" si="228"/>
        <v/>
      </c>
      <c r="CY49" s="13" t="str">
        <f t="shared" si="228"/>
        <v/>
      </c>
      <c r="CZ49" s="13" t="str">
        <f t="shared" si="228"/>
        <v/>
      </c>
      <c r="DC49" s="13">
        <f t="shared" si="238"/>
        <v>0</v>
      </c>
      <c r="DD49" s="243">
        <f t="shared" si="229"/>
        <v>0</v>
      </c>
      <c r="DE49" s="236">
        <f t="shared" si="239"/>
        <v>0</v>
      </c>
      <c r="DF49" s="232">
        <f t="shared" si="230"/>
        <v>0</v>
      </c>
      <c r="DG49" s="234">
        <f t="shared" si="240"/>
        <v>0</v>
      </c>
      <c r="DH49" s="232">
        <f t="shared" si="231"/>
        <v>0</v>
      </c>
      <c r="DI49" s="41">
        <f t="shared" si="241"/>
        <v>0</v>
      </c>
      <c r="DJ49" s="271">
        <f t="shared" si="232"/>
        <v>0</v>
      </c>
      <c r="DK49" s="273">
        <f t="shared" si="233"/>
        <v>0</v>
      </c>
      <c r="DL49" s="281">
        <f t="shared" si="242"/>
        <v>0</v>
      </c>
      <c r="DM49" s="644">
        <f t="shared" si="243"/>
        <v>4.9999999999999998E-7</v>
      </c>
      <c r="DN49" s="285">
        <f t="shared" si="234"/>
        <v>0</v>
      </c>
      <c r="DO49" s="285">
        <f t="shared" si="235"/>
        <v>0</v>
      </c>
      <c r="DP49" s="285">
        <f t="shared" si="236"/>
        <v>4.9999999999999998E-7</v>
      </c>
      <c r="FE49" s="667">
        <f>IF($FD$31=1,VLOOKUP($FB$31,$AH$32:$AQ$39,10,FALSE),0)</f>
        <v>0</v>
      </c>
      <c r="FG49" s="668">
        <f>IF($AR$40="",0,IF($FF$31=2,VLOOKUP($FB$31,$AH$40:$AR$43,10,FALSE),0))</f>
        <v>0</v>
      </c>
      <c r="FL49" s="716"/>
      <c r="FM49" s="716"/>
      <c r="FN49"/>
      <c r="FO49"/>
      <c r="FP49"/>
      <c r="FQ49"/>
      <c r="FR49"/>
      <c r="FS49"/>
      <c r="FT49"/>
      <c r="FU49"/>
      <c r="FV49"/>
      <c r="FW49"/>
      <c r="FX49"/>
      <c r="FY49"/>
      <c r="FZ49"/>
      <c r="GA49"/>
      <c r="GB49"/>
      <c r="GC49"/>
      <c r="GD49"/>
      <c r="GE49"/>
      <c r="GF49"/>
      <c r="GG49"/>
      <c r="GW49" s="1144"/>
      <c r="GX49" s="230" t="str">
        <f>IF($AC$16="","",IF($JB$17=$GX$3,$JC$17,IF(AND($W$17=$GX$3,$AA$17&lt;&gt;""),$AA$17,IF(AND($W$17=$GX$3,$AA$17=""),$AB$17,""))))</f>
        <v/>
      </c>
      <c r="GY49" s="301">
        <v>43</v>
      </c>
      <c r="GZ49" s="5" t="str">
        <f t="shared" si="105"/>
        <v/>
      </c>
      <c r="HA49" s="95" t="str">
        <f t="shared" si="62"/>
        <v/>
      </c>
      <c r="HB49" s="5"/>
      <c r="HC49" s="95" t="str">
        <f t="shared" si="106"/>
        <v/>
      </c>
      <c r="HG49" s="1144"/>
      <c r="HH49" s="230" t="str">
        <f>IF($AC$16="","",IF($JB$17=$HH$3,$JC$17,IF(AND($W$17=$HH$3,$AA$17&lt;&gt;""),$AA$17,IF(AND($W$17=$HH$3,$AA$17=""),$AB$17,""))))</f>
        <v/>
      </c>
      <c r="HI49" s="301">
        <v>43</v>
      </c>
      <c r="HJ49" s="5" t="str">
        <f t="shared" si="107"/>
        <v/>
      </c>
      <c r="HK49" s="95" t="str">
        <f t="shared" si="63"/>
        <v/>
      </c>
      <c r="HL49" s="5"/>
      <c r="HM49" s="95" t="str">
        <f t="shared" si="64"/>
        <v/>
      </c>
      <c r="HN49" s="1149"/>
      <c r="HO49" s="131" t="str">
        <f>IF($H42="",$D42,$H42)</f>
        <v>Daniel Henderson</v>
      </c>
      <c r="HP49" s="884" t="str">
        <f>M42</f>
        <v/>
      </c>
      <c r="HQ49" s="327" t="str">
        <f>IF($L42="","",$L42)</f>
        <v/>
      </c>
      <c r="HR49" s="327">
        <v>0.02</v>
      </c>
      <c r="HS49" s="458" t="str">
        <f t="shared" si="144"/>
        <v/>
      </c>
      <c r="HT49" s="327" t="e">
        <f>RANK(HS49,HS47:HS50)+COUNTIF(HS47:HS49,HS49)-1</f>
        <v>#VALUE!</v>
      </c>
      <c r="HU49" s="327" t="str">
        <f>IF(HQ49="",HO49,HO49&amp;" ("&amp;HQ49&amp;")")</f>
        <v>Daniel Henderson</v>
      </c>
      <c r="HV49" s="328">
        <v>3</v>
      </c>
      <c r="HW49" s="337" t="str">
        <f>IF(N40="","",VLOOKUP(HV49,HT47:HU50,2,FALSE))</f>
        <v/>
      </c>
      <c r="HX49" s="1149"/>
      <c r="HY49" s="131" t="str">
        <f>IF($W42="",$S42,$W42)</f>
        <v>Hans Weber</v>
      </c>
      <c r="HZ49" s="327" t="str">
        <f>AB42</f>
        <v/>
      </c>
      <c r="IA49" s="327" t="str">
        <f>IF($AA42="","",$AA42)</f>
        <v/>
      </c>
      <c r="IB49" s="327">
        <v>0.02</v>
      </c>
      <c r="IC49" s="458" t="str">
        <f t="shared" si="145"/>
        <v/>
      </c>
      <c r="ID49" s="327" t="e">
        <f>RANK(IC49,IC47:IC50)+COUNTIF(IC47:IC49,IC49)-1</f>
        <v>#VALUE!</v>
      </c>
      <c r="IE49" s="327" t="str">
        <f>IF(IA49="",HY49,HY49&amp;" ("&amp;IA49&amp;")")</f>
        <v>Hans Weber</v>
      </c>
      <c r="IF49" s="344">
        <v>3</v>
      </c>
      <c r="IG49" s="337" t="str">
        <f>IF(AC40="","",VLOOKUP(IF49,ID47:IE50,2,FALSE))</f>
        <v/>
      </c>
      <c r="IH49" s="1147"/>
      <c r="II49" s="361" t="str">
        <f>IF($AL42="",$AH42,$AL42)</f>
        <v/>
      </c>
      <c r="IJ49" s="327" t="str">
        <f>AQ42</f>
        <v/>
      </c>
      <c r="IK49" s="327" t="str">
        <f>IF($AP42="","",$AP42)</f>
        <v/>
      </c>
      <c r="IL49" s="327">
        <v>0.02</v>
      </c>
      <c r="IM49" s="327" t="str">
        <f>IF(IK49&lt;&gt;"",-1,IJ49)</f>
        <v/>
      </c>
      <c r="IN49" s="327" t="e">
        <f>RANK(IM49,IM47:IM50)+COUNTIF(IM47:IM49,IM49)-1</f>
        <v>#VALUE!</v>
      </c>
      <c r="IO49" s="327" t="str">
        <f>IF(IK49="",II49,II49&amp;" ("&amp;IK49&amp;")")</f>
        <v/>
      </c>
      <c r="IP49" s="344">
        <v>3</v>
      </c>
      <c r="IQ49" s="337" t="str">
        <f>IF($AR$40="","",VLOOKUP($IP49,IN$47:IO$51,2,FALSE))</f>
        <v/>
      </c>
      <c r="JJ49" s="1335"/>
      <c r="JK49" s="876">
        <v>43</v>
      </c>
      <c r="JL49" s="879" t="str">
        <f t="shared" si="108"/>
        <v/>
      </c>
      <c r="JM49" s="662" t="str">
        <f t="shared" si="196"/>
        <v/>
      </c>
      <c r="JN49" s="869" t="str">
        <f>IF($AC$16="","",IF(AND($S$17=JL$11,$U$17&lt;&gt;""),$U$17,IF(AND($S$17=JL$11,$AA$17&lt;&gt;""),$AA$17,IF($S$17=JL$11,$AB$17,""))))</f>
        <v/>
      </c>
      <c r="JO49" s="879" t="str">
        <f t="shared" si="109"/>
        <v/>
      </c>
      <c r="JP49" s="662" t="str">
        <f t="shared" si="197"/>
        <v/>
      </c>
      <c r="JQ49" s="869" t="str">
        <f>IF($AC$16="","",IF(AND($S$17=JO$11,$U$17&lt;&gt;""),$U$17,IF(AND($S$17=JO$11,$AA$17&lt;&gt;""),$AA$17,IF($S$17=JO$11,$AB$17,""))))</f>
        <v/>
      </c>
      <c r="JR49" s="879" t="str">
        <f t="shared" si="198"/>
        <v/>
      </c>
      <c r="JS49" s="662" t="str">
        <f t="shared" si="199"/>
        <v/>
      </c>
      <c r="JT49" s="869" t="str">
        <f>IF($AC$16="","",IF(AND($S$17=JR$11,$U$17&lt;&gt;""),$U$17,IF(AND($S$17=JR$11,$AA$17&lt;&gt;""),$AA$17,IF($S$17=JR$11,$AB$17,""))))</f>
        <v/>
      </c>
      <c r="JU49" s="879" t="str">
        <f t="shared" si="200"/>
        <v/>
      </c>
      <c r="JV49" s="662" t="str">
        <f t="shared" si="201"/>
        <v/>
      </c>
      <c r="JW49" s="869" t="str">
        <f>IF($AC$16="","",IF(AND($S$17=JU$11,$U$17&lt;&gt;""),$U$17,IF(AND($S$17=JU$11,$AA$17&lt;&gt;""),$AA$17,IF($S$17=JU$11,$AB$17,""))))</f>
        <v/>
      </c>
      <c r="JX49" s="879" t="str">
        <f t="shared" si="202"/>
        <v/>
      </c>
      <c r="JY49" s="662" t="str">
        <f t="shared" si="203"/>
        <v/>
      </c>
      <c r="JZ49" s="869" t="str">
        <f>IF($AC$16="","",IF(AND($S$17=JX$11,$U$17&lt;&gt;""),$U$17,IF(AND($S$17=JX$11,$AA$17&lt;&gt;""),$AA$17,IF($S$17=JX$11,$AB$17,""))))</f>
        <v/>
      </c>
      <c r="KA49" s="879" t="str">
        <f t="shared" si="204"/>
        <v/>
      </c>
      <c r="KB49" s="662" t="str">
        <f t="shared" si="205"/>
        <v/>
      </c>
      <c r="KC49" s="869" t="str">
        <f>IF($AC$16="","",IF(AND($S$17=KA$11,$U$17&lt;&gt;""),$U$17,IF(AND($S$17=KA$11,$AA$17&lt;&gt;""),$AA$17,IF($S$17=KA$11,$AB$17,""))))</f>
        <v/>
      </c>
      <c r="KD49" s="879" t="str">
        <f t="shared" si="206"/>
        <v/>
      </c>
      <c r="KE49" s="662" t="str">
        <f t="shared" si="207"/>
        <v/>
      </c>
      <c r="KF49" s="869" t="str">
        <f>IF($AC$16="","",IF(AND($S$17=KD$11,$U$17&lt;&gt;""),$U$17,IF(AND($S$17=KD$11,$AA$17&lt;&gt;""),$AA$17,IF($S$17=KD$11,$AB$17,""))))</f>
        <v/>
      </c>
      <c r="KG49" s="879" t="str">
        <f t="shared" si="208"/>
        <v/>
      </c>
      <c r="KH49" s="662" t="str">
        <f t="shared" si="209"/>
        <v/>
      </c>
      <c r="KI49" s="869" t="str">
        <f>IF($AC$16="","",IF(AND($S$17=KG$11,$U$17&lt;&gt;""),$U$17,IF(AND($S$17=KG$11,$AA$17&lt;&gt;""),$AA$17,IF($S$17=KG$11,$AB$17,""))))</f>
        <v/>
      </c>
      <c r="KJ49" s="879" t="str">
        <f t="shared" si="210"/>
        <v/>
      </c>
      <c r="KK49" s="662" t="str">
        <f t="shared" si="211"/>
        <v/>
      </c>
      <c r="KL49" s="869" t="str">
        <f>IF($AC$16="","",IF(AND($S$17=KJ$11,$U$17&lt;&gt;""),$U$17,IF(AND($S$17=KJ$11,$AA$17&lt;&gt;""),$AA$17,IF($S$17=KJ$11,$AB$17,""))))</f>
        <v/>
      </c>
      <c r="KM49" s="879" t="str">
        <f t="shared" si="212"/>
        <v/>
      </c>
      <c r="KN49" s="662" t="str">
        <f t="shared" si="213"/>
        <v/>
      </c>
      <c r="KO49" s="869" t="str">
        <f>IF($AC$16="","",IF(AND($S$17=KM$11,$U$17&lt;&gt;""),$U$17,IF(AND($S$17=KM$11,$AA$17&lt;&gt;""),$AA$17,IF($S$17=KM$11,$AB$17,""))))</f>
        <v/>
      </c>
      <c r="KP49" s="879" t="str">
        <f t="shared" si="214"/>
        <v/>
      </c>
      <c r="KQ49" s="662" t="str">
        <f t="shared" si="215"/>
        <v/>
      </c>
      <c r="KR49" s="869" t="str">
        <f>IF($AC$16="","",IF(AND($S$17=KP$11,$U$17&lt;&gt;""),$U$17,IF(AND($S$17=KP$11,$AA$17&lt;&gt;""),$AA$17,IF($S$17=KP$11,$AB$17,""))))</f>
        <v/>
      </c>
      <c r="KS49" s="879" t="str">
        <f t="shared" si="216"/>
        <v/>
      </c>
      <c r="KT49" s="662" t="str">
        <f t="shared" si="217"/>
        <v/>
      </c>
      <c r="KU49" s="869" t="str">
        <f>IF($AC$16="","",IF(AND($S$17=KS$11,$U$17&lt;&gt;""),$U$17,IF(AND($S$17=KS$11,$AA$17&lt;&gt;""),$AA$17,IF($S$17=KS$11,$AB$17,""))))</f>
        <v/>
      </c>
      <c r="KV49" s="879" t="str">
        <f t="shared" si="218"/>
        <v/>
      </c>
      <c r="KW49" s="662" t="str">
        <f t="shared" si="219"/>
        <v/>
      </c>
      <c r="KX49" s="869" t="str">
        <f>IF($AC$16="","",IF(AND($S$17=KV$11,$U$17&lt;&gt;""),$U$17,IF(AND($S$17=KV$11,$AA$17&lt;&gt;""),$AA$17,IF($S$17=KV$11,$AB$17,""))))</f>
        <v/>
      </c>
      <c r="KY49" s="879" t="str">
        <f t="shared" si="220"/>
        <v/>
      </c>
      <c r="KZ49" s="662" t="str">
        <f t="shared" si="221"/>
        <v/>
      </c>
      <c r="LA49" s="869" t="str">
        <f>IF($AC$16="","",IF(AND($S$17=KY$11,$U$17&lt;&gt;""),$U$17,IF(AND($S$17=KY$11,$AA$17&lt;&gt;""),$AA$17,IF($S$17=KY$11,$AB$17,""))))</f>
        <v/>
      </c>
      <c r="LB49" s="879" t="str">
        <f t="shared" si="222"/>
        <v/>
      </c>
      <c r="LC49" s="662" t="str">
        <f t="shared" si="223"/>
        <v/>
      </c>
      <c r="LD49" s="869" t="str">
        <f>IF($AC$16="","",IF(AND($S$17=LB$11,$U$17&lt;&gt;""),$U$17,IF(AND($S$17=LB$11,$AA$17&lt;&gt;""),$AA$17,IF($S$17=LB$11,$AB$17,""))))</f>
        <v/>
      </c>
      <c r="LE49" s="879" t="str">
        <f t="shared" si="224"/>
        <v/>
      </c>
      <c r="LF49" s="662" t="str">
        <f t="shared" si="225"/>
        <v/>
      </c>
      <c r="LG49" s="869" t="str">
        <f>IF($AC$16="","",IF(AND($S$17=LE$11,$U$17&lt;&gt;""),$U$17,IF(AND($S$17=LE$11,$AA$17&lt;&gt;""),$AA$17,IF($S$17=LE$11,$AB$17,""))))</f>
        <v/>
      </c>
      <c r="LH49"/>
      <c r="LI49"/>
      <c r="LJ49"/>
      <c r="LK49"/>
      <c r="LL49"/>
      <c r="LM49"/>
    </row>
    <row r="50" spans="4:325" ht="13.5" thickBot="1">
      <c r="D50" s="8"/>
      <c r="E50" s="8"/>
      <c r="F50" s="8"/>
      <c r="G50" s="8"/>
      <c r="H50" s="8"/>
      <c r="M50" s="8"/>
      <c r="N50" s="8"/>
      <c r="S50" s="8"/>
      <c r="T50" s="8"/>
      <c r="U50" s="8"/>
      <c r="V50" s="8"/>
      <c r="W50" s="8"/>
      <c r="AH50" s="8"/>
      <c r="AI50" s="8"/>
      <c r="AJ50" s="8"/>
      <c r="AK50" s="8"/>
      <c r="BJ50" s="8"/>
      <c r="BK50" s="443"/>
      <c r="BL50" s="444" t="e">
        <f>RANK(BX50,BX$48:BX$51)+COUNTIF(BX$48:BX53,BX50)-1</f>
        <v>#N/A</v>
      </c>
      <c r="BM50" s="444">
        <v>3</v>
      </c>
      <c r="BN50" s="445" t="str">
        <f>IF(AQ$32=2,AH$32,IF(AQ$33=2,AH$33,IF(AQ$34=2,AH$34,IF(AQ$35=2,AH$35,""))))</f>
        <v/>
      </c>
      <c r="BO50" s="444"/>
      <c r="BP50" s="444"/>
      <c r="BQ50" s="444"/>
      <c r="BR50" s="446"/>
      <c r="BS50" s="490" t="str">
        <f>IF(BN50="","",VLOOKUP(BN50,$AV$12:$BB$27,7,FALSE))</f>
        <v/>
      </c>
      <c r="BT50" s="8">
        <v>2</v>
      </c>
      <c r="BU50" s="8">
        <f>SUM(BS50:BT50)</f>
        <v>2</v>
      </c>
      <c r="BV50" s="8">
        <f>COUNTIF(BU$48:BU$51,BU50)</f>
        <v>2</v>
      </c>
      <c r="BW50" s="8" t="e">
        <f>IF(BV50=1,0,VLOOKUP(BN50,$AV$12:$BI$29,14,FALSE))</f>
        <v>#N/A</v>
      </c>
      <c r="BX50" s="975" t="e">
        <f>SUM(BU50+SUM(BW50/1000))</f>
        <v>#N/A</v>
      </c>
      <c r="CG50" s="762">
        <v>4</v>
      </c>
      <c r="CH50" s="770" t="str">
        <f t="shared" si="226"/>
        <v>Igor Kononov</v>
      </c>
      <c r="CI50" s="496">
        <f t="shared" si="227"/>
        <v>0</v>
      </c>
      <c r="CU50" s="13">
        <f t="shared" si="237"/>
        <v>6</v>
      </c>
      <c r="CV50" s="13">
        <f t="shared" si="228"/>
        <v>6</v>
      </c>
      <c r="CW50" s="13" t="str">
        <f t="shared" si="228"/>
        <v>Jan Klatovsky</v>
      </c>
      <c r="CX50" s="13" t="str">
        <f t="shared" si="228"/>
        <v/>
      </c>
      <c r="CY50" s="13" t="str">
        <f t="shared" si="228"/>
        <v/>
      </c>
      <c r="CZ50" s="13" t="str">
        <f t="shared" si="228"/>
        <v/>
      </c>
      <c r="DC50" s="13">
        <f t="shared" si="238"/>
        <v>0</v>
      </c>
      <c r="DD50" s="243">
        <f t="shared" si="229"/>
        <v>0</v>
      </c>
      <c r="DE50" s="236">
        <f t="shared" si="239"/>
        <v>0</v>
      </c>
      <c r="DF50" s="232">
        <f t="shared" si="230"/>
        <v>0</v>
      </c>
      <c r="DG50" s="234">
        <f t="shared" si="240"/>
        <v>0</v>
      </c>
      <c r="DH50" s="232">
        <f t="shared" si="231"/>
        <v>0</v>
      </c>
      <c r="DI50" s="41">
        <f t="shared" si="241"/>
        <v>0</v>
      </c>
      <c r="DJ50" s="271">
        <f t="shared" si="232"/>
        <v>0</v>
      </c>
      <c r="DK50" s="273">
        <f t="shared" si="233"/>
        <v>0</v>
      </c>
      <c r="DL50" s="281">
        <f t="shared" si="242"/>
        <v>0</v>
      </c>
      <c r="DM50" s="643">
        <f t="shared" si="243"/>
        <v>5.4000000000000002E-7</v>
      </c>
      <c r="DN50" s="284">
        <f t="shared" si="234"/>
        <v>0</v>
      </c>
      <c r="DO50" s="284">
        <f t="shared" si="235"/>
        <v>0</v>
      </c>
      <c r="DP50" s="284">
        <f t="shared" si="236"/>
        <v>5.4000000000000002E-7</v>
      </c>
      <c r="FE50" s="655">
        <f>IF($FD$32=1,VLOOKUP($FB$32,$AH$32:$AQ$39,10,FALSE),0)</f>
        <v>0</v>
      </c>
      <c r="FG50" s="658">
        <f>IF($AR$40="",0,IF($FF$32=2,VLOOKUP($FB$32,$AH$40:$AR$43,10,FALSE),0))</f>
        <v>0</v>
      </c>
      <c r="FL50" s="716"/>
      <c r="FM50" s="716"/>
      <c r="FN50"/>
      <c r="FO50"/>
      <c r="FP50"/>
      <c r="FQ50"/>
      <c r="FR50"/>
      <c r="FS50"/>
      <c r="FT50"/>
      <c r="FU50"/>
      <c r="FV50"/>
      <c r="FW50"/>
      <c r="FX50"/>
      <c r="FY50"/>
      <c r="FZ50"/>
      <c r="GA50"/>
      <c r="GB50"/>
      <c r="GC50"/>
      <c r="GD50"/>
      <c r="GE50"/>
      <c r="GF50"/>
      <c r="GG50"/>
      <c r="GW50" s="1144"/>
      <c r="GX50" s="230" t="str">
        <f>IF($AC$16="","",IF($JB$18=$GX$3,$JC$18,IF(AND($W$18=$GX$3,$AA$18&lt;&gt;""),$AA$18,IF(AND($W$18=$GX$3,$AA$18=""),$AB$18,""))))</f>
        <v/>
      </c>
      <c r="GY50" s="301">
        <v>42</v>
      </c>
      <c r="GZ50" s="5" t="str">
        <f t="shared" si="105"/>
        <v/>
      </c>
      <c r="HA50" s="95" t="str">
        <f t="shared" si="62"/>
        <v/>
      </c>
      <c r="HB50" s="5"/>
      <c r="HC50" s="95" t="str">
        <f t="shared" si="106"/>
        <v/>
      </c>
      <c r="HG50" s="1144"/>
      <c r="HH50" s="230" t="str">
        <f>IF($AC$16="","",IF($JB$18=$HH$3,$JC$18,IF(AND($W$18=$HH$3,$AA$18&lt;&gt;""),$AA$18,IF(AND($W$18=$HH$3,$AA$18=""),$AB$18,""))))</f>
        <v/>
      </c>
      <c r="HI50" s="301">
        <v>42</v>
      </c>
      <c r="HJ50" s="5" t="str">
        <f t="shared" si="107"/>
        <v/>
      </c>
      <c r="HK50" s="95" t="str">
        <f t="shared" si="63"/>
        <v/>
      </c>
      <c r="HL50" s="5"/>
      <c r="HM50" s="95" t="str">
        <f t="shared" si="64"/>
        <v/>
      </c>
      <c r="HN50" s="1150">
        <v>8</v>
      </c>
      <c r="HO50" s="131" t="str">
        <f>IF($H43="",$D43,$H43)</f>
        <v>Harald Simon</v>
      </c>
      <c r="HP50" s="884" t="str">
        <f>M43</f>
        <v/>
      </c>
      <c r="HQ50" s="327" t="str">
        <f>IF($L43="","",$L43)</f>
        <v/>
      </c>
      <c r="HR50" s="327">
        <v>0.01</v>
      </c>
      <c r="HS50" s="458" t="str">
        <f t="shared" si="144"/>
        <v/>
      </c>
      <c r="HT50" s="327" t="e">
        <f>RANK(HS50,HS47:HS50)+COUNTIF(HS47:HS50,HS50)-1</f>
        <v>#VALUE!</v>
      </c>
      <c r="HU50" s="327" t="str">
        <f>IF(HQ50="",HO50,HO50&amp;" ("&amp;HQ50&amp;")")</f>
        <v>Harald Simon</v>
      </c>
      <c r="HV50" s="328">
        <v>4</v>
      </c>
      <c r="HW50" s="337" t="str">
        <f>IF(N40="","",VLOOKUP(HV50,HT47:HU50,2,FALSE))</f>
        <v/>
      </c>
      <c r="HX50" s="1150">
        <v>16</v>
      </c>
      <c r="HY50" s="131" t="str">
        <f>IF($W43="",$S43,$W43)</f>
        <v>Antonin Klatovsky</v>
      </c>
      <c r="HZ50" s="327" t="str">
        <f>AB43</f>
        <v/>
      </c>
      <c r="IA50" s="327" t="str">
        <f>IF($AA43="","",$AA43)</f>
        <v/>
      </c>
      <c r="IB50" s="327">
        <v>0.01</v>
      </c>
      <c r="IC50" s="458" t="str">
        <f t="shared" si="145"/>
        <v/>
      </c>
      <c r="ID50" s="327" t="e">
        <f>RANK(IC50,IC47:IC50)+COUNTIF(IC47:IC50,IC50)-1</f>
        <v>#VALUE!</v>
      </c>
      <c r="IE50" s="327" t="str">
        <f>IF(IA50="",HY50,HY50&amp;" ("&amp;IA50&amp;")")</f>
        <v>Antonin Klatovsky</v>
      </c>
      <c r="IF50" s="344">
        <v>4</v>
      </c>
      <c r="IG50" s="337" t="str">
        <f>IF(AC40="","",VLOOKUP(IF50,ID47:IE50,2,FALSE))</f>
        <v/>
      </c>
      <c r="IH50" s="1147">
        <v>8</v>
      </c>
      <c r="II50" s="362" t="str">
        <f>IF($AL43="",$AH43,$AL43)</f>
        <v/>
      </c>
      <c r="IJ50" s="338" t="str">
        <f>AQ43</f>
        <v/>
      </c>
      <c r="IK50" s="338" t="str">
        <f>IF($AP43="","",$AP43)</f>
        <v/>
      </c>
      <c r="IL50" s="327">
        <v>0.01</v>
      </c>
      <c r="IM50" s="338" t="str">
        <f>IF(IK50&lt;&gt;"",-1,IJ50)</f>
        <v/>
      </c>
      <c r="IN50" s="327" t="e">
        <f>RANK(IM50,IM47:IM50)+COUNTIF(IM47:IM50,IM50)-1</f>
        <v>#VALUE!</v>
      </c>
      <c r="IO50" s="338" t="str">
        <f>IF(IK50="",II50,II50&amp;" ("&amp;IK50&amp;")")</f>
        <v/>
      </c>
      <c r="IP50" s="351">
        <v>4</v>
      </c>
      <c r="IQ50" s="339" t="str">
        <f>IF($AR$40="","",VLOOKUP($IP50,IN$47:IO$51,2,FALSE))</f>
        <v/>
      </c>
      <c r="JJ50" s="1335"/>
      <c r="JK50" s="876">
        <v>42</v>
      </c>
      <c r="JL50" s="879" t="str">
        <f t="shared" si="108"/>
        <v/>
      </c>
      <c r="JM50" s="662" t="str">
        <f t="shared" si="196"/>
        <v/>
      </c>
      <c r="JN50" s="869" t="str">
        <f>IF($AC$16="","",IF(AND($S$18=JL$11,$U$18&lt;&gt;""),$U$18,IF(AND($S$18=JL$11,$AA$18&lt;&gt;""),$AA$18,IF($S$18=JL$11,$AB$18,""))))</f>
        <v/>
      </c>
      <c r="JO50" s="879" t="str">
        <f t="shared" si="109"/>
        <v/>
      </c>
      <c r="JP50" s="662" t="str">
        <f t="shared" si="197"/>
        <v/>
      </c>
      <c r="JQ50" s="869" t="str">
        <f>IF($AC$16="","",IF(AND($S$18=JO$11,$U$18&lt;&gt;""),$U$18,IF(AND($S$18=JO$11,$AA$18&lt;&gt;""),$AA$18,IF($S$18=JO$11,$AB$18,""))))</f>
        <v/>
      </c>
      <c r="JR50" s="879" t="str">
        <f t="shared" si="198"/>
        <v/>
      </c>
      <c r="JS50" s="662" t="str">
        <f t="shared" si="199"/>
        <v/>
      </c>
      <c r="JT50" s="869" t="str">
        <f>IF($AC$16="","",IF(AND($S$18=JR$11,$U$18&lt;&gt;""),$U$18,IF(AND($S$18=JR$11,$AA$18&lt;&gt;""),$AA$18,IF($S$18=JR$11,$AB$18,""))))</f>
        <v/>
      </c>
      <c r="JU50" s="879" t="str">
        <f t="shared" si="200"/>
        <v/>
      </c>
      <c r="JV50" s="662" t="str">
        <f t="shared" si="201"/>
        <v/>
      </c>
      <c r="JW50" s="869" t="str">
        <f>IF($AC$16="","",IF(AND($S$18=JU$11,$U$18&lt;&gt;""),$U$18,IF(AND($S$18=JU$11,$AA$18&lt;&gt;""),$AA$18,IF($S$18=JU$11,$AB$18,""))))</f>
        <v/>
      </c>
      <c r="JX50" s="879" t="str">
        <f t="shared" si="202"/>
        <v/>
      </c>
      <c r="JY50" s="662" t="str">
        <f t="shared" si="203"/>
        <v/>
      </c>
      <c r="JZ50" s="869" t="str">
        <f>IF($AC$16="","",IF(AND($S$18=JX$11,$U$18&lt;&gt;""),$U$18,IF(AND($S$18=JX$11,$AA$18&lt;&gt;""),$AA$18,IF($S$18=JX$11,$AB$18,""))))</f>
        <v/>
      </c>
      <c r="KA50" s="879" t="str">
        <f t="shared" si="204"/>
        <v/>
      </c>
      <c r="KB50" s="662" t="str">
        <f t="shared" si="205"/>
        <v/>
      </c>
      <c r="KC50" s="869" t="str">
        <f>IF($AC$16="","",IF(AND($S$18=KA$11,$U$18&lt;&gt;""),$U$18,IF(AND($S$18=KA$11,$AA$18&lt;&gt;""),$AA$18,IF($S$18=KA$11,$AB$18,""))))</f>
        <v/>
      </c>
      <c r="KD50" s="879" t="str">
        <f t="shared" si="206"/>
        <v/>
      </c>
      <c r="KE50" s="662" t="str">
        <f t="shared" si="207"/>
        <v/>
      </c>
      <c r="KF50" s="869" t="str">
        <f>IF($AC$16="","",IF(AND($S$18=KD$11,$U$18&lt;&gt;""),$U$18,IF(AND($S$18=KD$11,$AA$18&lt;&gt;""),$AA$18,IF($S$18=KD$11,$AB$18,""))))</f>
        <v/>
      </c>
      <c r="KG50" s="879" t="str">
        <f t="shared" si="208"/>
        <v/>
      </c>
      <c r="KH50" s="662" t="str">
        <f t="shared" si="209"/>
        <v/>
      </c>
      <c r="KI50" s="869" t="str">
        <f>IF($AC$16="","",IF(AND($S$18=KG$11,$U$18&lt;&gt;""),$U$18,IF(AND($S$18=KG$11,$AA$18&lt;&gt;""),$AA$18,IF($S$18=KG$11,$AB$18,""))))</f>
        <v/>
      </c>
      <c r="KJ50" s="879" t="str">
        <f t="shared" si="210"/>
        <v/>
      </c>
      <c r="KK50" s="662" t="str">
        <f t="shared" si="211"/>
        <v/>
      </c>
      <c r="KL50" s="869" t="str">
        <f>IF($AC$16="","",IF(AND($S$18=KJ$11,$U$18&lt;&gt;""),$U$18,IF(AND($S$18=KJ$11,$AA$18&lt;&gt;""),$AA$18,IF($S$18=KJ$11,$AB$18,""))))</f>
        <v/>
      </c>
      <c r="KM50" s="879" t="str">
        <f t="shared" si="212"/>
        <v/>
      </c>
      <c r="KN50" s="662" t="str">
        <f t="shared" si="213"/>
        <v/>
      </c>
      <c r="KO50" s="869" t="str">
        <f>IF($AC$16="","",IF(AND($S$18=KM$11,$U$18&lt;&gt;""),$U$18,IF(AND($S$18=KM$11,$AA$18&lt;&gt;""),$AA$18,IF($S$18=KM$11,$AB$18,""))))</f>
        <v/>
      </c>
      <c r="KP50" s="879" t="str">
        <f t="shared" si="214"/>
        <v/>
      </c>
      <c r="KQ50" s="662" t="str">
        <f t="shared" si="215"/>
        <v/>
      </c>
      <c r="KR50" s="869" t="str">
        <f>IF($AC$16="","",IF(AND($S$18=KP$11,$U$18&lt;&gt;""),$U$18,IF(AND($S$18=KP$11,$AA$18&lt;&gt;""),$AA$18,IF($S$18=KP$11,$AB$18,""))))</f>
        <v/>
      </c>
      <c r="KS50" s="879" t="str">
        <f t="shared" si="216"/>
        <v/>
      </c>
      <c r="KT50" s="662" t="str">
        <f t="shared" si="217"/>
        <v/>
      </c>
      <c r="KU50" s="869" t="str">
        <f>IF($AC$16="","",IF(AND($S$18=KS$11,$U$18&lt;&gt;""),$U$18,IF(AND($S$18=KS$11,$AA$18&lt;&gt;""),$AA$18,IF($S$18=KS$11,$AB$18,""))))</f>
        <v/>
      </c>
      <c r="KV50" s="879" t="str">
        <f t="shared" si="218"/>
        <v/>
      </c>
      <c r="KW50" s="662" t="str">
        <f t="shared" si="219"/>
        <v/>
      </c>
      <c r="KX50" s="869" t="str">
        <f>IF($AC$16="","",IF(AND($S$18=KV$11,$U$18&lt;&gt;""),$U$18,IF(AND($S$18=KV$11,$AA$18&lt;&gt;""),$AA$18,IF($S$18=KV$11,$AB$18,""))))</f>
        <v/>
      </c>
      <c r="KY50" s="879" t="str">
        <f t="shared" si="220"/>
        <v/>
      </c>
      <c r="KZ50" s="662" t="str">
        <f t="shared" si="221"/>
        <v/>
      </c>
      <c r="LA50" s="869" t="str">
        <f>IF($AC$16="","",IF(AND($S$18=KY$11,$U$18&lt;&gt;""),$U$18,IF(AND($S$18=KY$11,$AA$18&lt;&gt;""),$AA$18,IF($S$18=KY$11,$AB$18,""))))</f>
        <v/>
      </c>
      <c r="LB50" s="879" t="str">
        <f t="shared" si="222"/>
        <v/>
      </c>
      <c r="LC50" s="662" t="str">
        <f t="shared" si="223"/>
        <v/>
      </c>
      <c r="LD50" s="869" t="str">
        <f>IF($AC$16="","",IF(AND($S$18=LB$11,$U$18&lt;&gt;""),$U$18,IF(AND($S$18=LB$11,$AA$18&lt;&gt;""),$AA$18,IF($S$18=LB$11,$AB$18,""))))</f>
        <v/>
      </c>
      <c r="LE50" s="879" t="str">
        <f t="shared" si="224"/>
        <v/>
      </c>
      <c r="LF50" s="662" t="str">
        <f t="shared" si="225"/>
        <v/>
      </c>
      <c r="LG50" s="869" t="str">
        <f>IF($AC$16="","",IF(AND($S$18=LE$11,$U$18&lt;&gt;""),$U$18,IF(AND($S$18=LE$11,$AA$18&lt;&gt;""),$AA$18,IF($S$18=LE$11,$AB$18,""))))</f>
        <v/>
      </c>
      <c r="LH50"/>
      <c r="LI50"/>
      <c r="LJ50"/>
      <c r="LK50"/>
      <c r="LL50"/>
      <c r="LM50"/>
    </row>
    <row r="51" spans="4:325" ht="13.5" thickBot="1">
      <c r="D51" s="8"/>
      <c r="E51" s="8"/>
      <c r="F51" s="8"/>
      <c r="G51" s="8"/>
      <c r="H51" s="8"/>
      <c r="M51" s="8"/>
      <c r="N51" s="8"/>
      <c r="S51" s="8"/>
      <c r="T51" s="8"/>
      <c r="U51" s="8"/>
      <c r="V51" s="8"/>
      <c r="W51" s="8"/>
      <c r="AH51" s="8"/>
      <c r="AI51" s="8"/>
      <c r="AJ51" s="8"/>
      <c r="AK51" s="8"/>
      <c r="BJ51" s="8"/>
      <c r="BK51" s="447"/>
      <c r="BL51" s="444" t="e">
        <f>RANK(BX51,BX$48:BX$51)+COUNTIF(BX$48:BX54,BX51)-1</f>
        <v>#N/A</v>
      </c>
      <c r="BM51" s="448">
        <v>4</v>
      </c>
      <c r="BN51" s="449" t="str">
        <f>IF(AQ$36=2,AH$36,IF(AQ$37=2,AH$37,IF(AQ$38=2,AH$38,IF(AQ$39=2,AH$39,""))))</f>
        <v/>
      </c>
      <c r="BO51" s="448"/>
      <c r="BP51" s="448"/>
      <c r="BQ51" s="448"/>
      <c r="BR51" s="450"/>
      <c r="BS51" s="491" t="str">
        <f>IF(BN51="","",VLOOKUP(BN51,$AV$12:$BB$27,7,FALSE))</f>
        <v/>
      </c>
      <c r="BT51" s="8">
        <v>2</v>
      </c>
      <c r="BU51" s="8">
        <f>SUM(BS51:BT51)</f>
        <v>2</v>
      </c>
      <c r="BV51" s="8">
        <f>COUNTIF(BU$48:BU$51,BU51)</f>
        <v>2</v>
      </c>
      <c r="BW51" s="8" t="e">
        <f>IF(BV51=1,0,VLOOKUP(BN51,$AV$12:$BI$29,14,FALSE))</f>
        <v>#N/A</v>
      </c>
      <c r="BX51" s="975" t="e">
        <f>SUM(BU51+SUM(BW51/1000))</f>
        <v>#N/A</v>
      </c>
      <c r="CG51" s="762">
        <v>5</v>
      </c>
      <c r="CH51" s="770" t="str">
        <f t="shared" si="226"/>
        <v>Stefan Svensson</v>
      </c>
      <c r="CI51" s="496">
        <f t="shared" si="227"/>
        <v>0</v>
      </c>
      <c r="CU51" s="13">
        <f t="shared" si="237"/>
        <v>13</v>
      </c>
      <c r="CV51" s="13">
        <f t="shared" si="228"/>
        <v>14</v>
      </c>
      <c r="CW51" s="13" t="str">
        <f t="shared" si="228"/>
        <v>Antonin Klatovsky</v>
      </c>
      <c r="CX51" s="13" t="str">
        <f t="shared" si="228"/>
        <v/>
      </c>
      <c r="CY51" s="13" t="str">
        <f t="shared" si="228"/>
        <v/>
      </c>
      <c r="CZ51" s="13" t="str">
        <f t="shared" si="228"/>
        <v/>
      </c>
      <c r="DC51" s="13">
        <f t="shared" si="238"/>
        <v>0</v>
      </c>
      <c r="DD51" s="243">
        <f t="shared" si="229"/>
        <v>0</v>
      </c>
      <c r="DE51" s="236">
        <f t="shared" si="239"/>
        <v>0</v>
      </c>
      <c r="DF51" s="232">
        <f t="shared" si="230"/>
        <v>0</v>
      </c>
      <c r="DG51" s="234">
        <f t="shared" si="240"/>
        <v>0</v>
      </c>
      <c r="DH51" s="232">
        <f t="shared" si="231"/>
        <v>0</v>
      </c>
      <c r="DI51" s="41">
        <f t="shared" si="241"/>
        <v>0</v>
      </c>
      <c r="DJ51" s="271">
        <f t="shared" si="232"/>
        <v>0</v>
      </c>
      <c r="DK51" s="273">
        <f t="shared" si="233"/>
        <v>0</v>
      </c>
      <c r="DL51" s="281">
        <f t="shared" si="242"/>
        <v>0</v>
      </c>
      <c r="DM51" s="644">
        <f t="shared" si="243"/>
        <v>4.5999999999999999E-7</v>
      </c>
      <c r="DN51" s="285">
        <f t="shared" si="234"/>
        <v>0</v>
      </c>
      <c r="DO51" s="285">
        <f t="shared" si="235"/>
        <v>0</v>
      </c>
      <c r="DP51" s="285">
        <f t="shared" si="236"/>
        <v>4.5999999999999999E-7</v>
      </c>
      <c r="FE51" s="667">
        <f>IF($FD$33=1,VLOOKUP($FB$33,$AH$32:$AQ$39,10,FALSE),0)</f>
        <v>0</v>
      </c>
      <c r="FG51" s="668">
        <f>IF($AR$40="",0,IF($FF$33=2,VLOOKUP($FB$33,$AH$40:$AR$43,10,FALSE),0))</f>
        <v>0</v>
      </c>
      <c r="FL51" s="716"/>
      <c r="FM51" s="716"/>
      <c r="FN51"/>
      <c r="FO51"/>
      <c r="FP51"/>
      <c r="FQ51"/>
      <c r="FR51"/>
      <c r="FS51"/>
      <c r="FT51"/>
      <c r="FU51"/>
      <c r="FV51"/>
      <c r="FW51"/>
      <c r="FX51"/>
      <c r="FY51"/>
      <c r="FZ51"/>
      <c r="GA51"/>
      <c r="GB51"/>
      <c r="GC51"/>
      <c r="GD51"/>
      <c r="GE51"/>
      <c r="GF51"/>
      <c r="GG51"/>
      <c r="GW51" s="1145"/>
      <c r="GX51" s="231" t="str">
        <f>IF($AC$16="","",IF($JB$19=$GX$3,$JC$19,IF(AND($W$19=$GX$3,$AA$19&lt;&gt;""),$AA$19,IF(AND($W$19=$GX$3,$AA$19=""),$AB$19,""))))</f>
        <v/>
      </c>
      <c r="GY51" s="302">
        <v>41</v>
      </c>
      <c r="GZ51" s="303" t="str">
        <f t="shared" si="105"/>
        <v/>
      </c>
      <c r="HA51" s="98" t="str">
        <f t="shared" si="62"/>
        <v/>
      </c>
      <c r="HB51" s="303"/>
      <c r="HC51" s="98" t="str">
        <f t="shared" si="106"/>
        <v/>
      </c>
      <c r="HG51" s="1145"/>
      <c r="HH51" s="231" t="str">
        <f>IF($AC$16="","",IF($JB$19=$HH$3,$JC$19,IF(AND($W$19=$HH$3,$AA$19&lt;&gt;""),$AA$19,IF(AND($W$19=$HH$3,$AA$19=""),$AB$19,""))))</f>
        <v/>
      </c>
      <c r="HI51" s="302">
        <v>41</v>
      </c>
      <c r="HJ51" s="303" t="str">
        <f t="shared" si="107"/>
        <v/>
      </c>
      <c r="HK51" s="98" t="str">
        <f t="shared" si="63"/>
        <v/>
      </c>
      <c r="HL51" s="303"/>
      <c r="HM51" s="98" t="str">
        <f t="shared" si="64"/>
        <v/>
      </c>
      <c r="HN51" s="348" t="str">
        <f>IF($A43="","",$A43)</f>
        <v/>
      </c>
      <c r="HO51" s="132" t="str">
        <f>IF($H40&lt;&gt;"",$D40,IF($H41&lt;&gt;"",$D41,IF($H42&lt;&gt;"",$D42,IF($H43&lt;&gt;"",$D43,""))))</f>
        <v/>
      </c>
      <c r="HP51" s="885" t="str">
        <f>IF(HO51="","",VLOOKUP($HO51,$CW$3:$DB$18,3,FALSE))</f>
        <v/>
      </c>
      <c r="HQ51" s="338"/>
      <c r="HR51" s="338"/>
      <c r="HS51" s="338">
        <v>5</v>
      </c>
      <c r="HT51" s="338"/>
      <c r="HU51" s="132" t="str">
        <f>IF(HO51="","",HO51&amp;" ("&amp;HP51&amp;")")</f>
        <v/>
      </c>
      <c r="HV51" s="349">
        <v>5</v>
      </c>
      <c r="HW51" s="339" t="str">
        <f>IF(HU51="","",HU51)</f>
        <v/>
      </c>
      <c r="HX51" s="348" t="str">
        <f>IF($P43="","",$P43)</f>
        <v/>
      </c>
      <c r="HY51" s="132" t="str">
        <f>IF($W40&lt;&gt;"",$S40,IF($W41&lt;&gt;"",$S41,IF($W42&lt;&gt;"",$S42,IF($W43&lt;&gt;"",$S43,""))))</f>
        <v/>
      </c>
      <c r="HZ51" s="338" t="str">
        <f>IF(HY51="","",VLOOKUP($HY51,$CW$3:$DB$18,5,FALSE))</f>
        <v/>
      </c>
      <c r="IA51" s="338"/>
      <c r="IB51" s="338"/>
      <c r="IC51" s="338">
        <v>5</v>
      </c>
      <c r="ID51" s="338"/>
      <c r="IE51" s="132" t="str">
        <f>IF(HY51="","",HY51&amp;" ("&amp;HZ51&amp;")")</f>
        <v/>
      </c>
      <c r="IF51" s="351">
        <v>5</v>
      </c>
      <c r="IG51" s="339" t="str">
        <f>IF(IE51="","",IE51)</f>
        <v/>
      </c>
      <c r="IH51" s="363" t="str">
        <f>IF($AE43="","",$AE43)</f>
        <v/>
      </c>
      <c r="II51"/>
      <c r="IJ51"/>
      <c r="IK51"/>
      <c r="IL51"/>
      <c r="IM51"/>
      <c r="IN51"/>
      <c r="IO51"/>
      <c r="IP51"/>
      <c r="IQ51"/>
      <c r="JJ51" s="1336"/>
      <c r="JK51" s="877">
        <v>41</v>
      </c>
      <c r="JL51" s="880" t="str">
        <f t="shared" si="108"/>
        <v/>
      </c>
      <c r="JM51" s="873" t="str">
        <f t="shared" si="196"/>
        <v/>
      </c>
      <c r="JN51" s="870" t="str">
        <f>IF($AC$16="","",IF(AND($S$19=JL$11,$U$19&lt;&gt;""),$U$19,IF(AND($S$19=JL$11,$AA$19&lt;&gt;""),$AA$19,IF($S$19=JL$11,$AB$19,""))))</f>
        <v/>
      </c>
      <c r="JO51" s="880" t="str">
        <f t="shared" si="109"/>
        <v/>
      </c>
      <c r="JP51" s="873" t="str">
        <f t="shared" si="197"/>
        <v/>
      </c>
      <c r="JQ51" s="870" t="str">
        <f>IF($AC$16="","",IF(AND($S$19=JO$11,$U$19&lt;&gt;""),$U$19,IF(AND($S$19=JO$11,$AA$19&lt;&gt;""),$AA$19,IF($S$19=JO$11,$AB$19,""))))</f>
        <v/>
      </c>
      <c r="JR51" s="880" t="str">
        <f t="shared" si="198"/>
        <v/>
      </c>
      <c r="JS51" s="873" t="str">
        <f t="shared" si="199"/>
        <v/>
      </c>
      <c r="JT51" s="870" t="str">
        <f>IF($AC$16="","",IF(AND($S$19=JR$11,$U$19&lt;&gt;""),$U$19,IF(AND($S$19=JR$11,$AA$19&lt;&gt;""),$AA$19,IF($S$19=JR$11,$AB$19,""))))</f>
        <v/>
      </c>
      <c r="JU51" s="880" t="str">
        <f t="shared" si="200"/>
        <v/>
      </c>
      <c r="JV51" s="873" t="str">
        <f t="shared" si="201"/>
        <v/>
      </c>
      <c r="JW51" s="870" t="str">
        <f>IF($AC$16="","",IF(AND($S$19=JU$11,$U$19&lt;&gt;""),$U$19,IF(AND($S$19=JU$11,$AA$19&lt;&gt;""),$AA$19,IF($S$19=JU$11,$AB$19,""))))</f>
        <v/>
      </c>
      <c r="JX51" s="880" t="str">
        <f t="shared" si="202"/>
        <v/>
      </c>
      <c r="JY51" s="873" t="str">
        <f t="shared" si="203"/>
        <v/>
      </c>
      <c r="JZ51" s="870" t="str">
        <f>IF($AC$16="","",IF(AND($S$19=JX$11,$U$19&lt;&gt;""),$U$19,IF(AND($S$19=JX$11,$AA$19&lt;&gt;""),$AA$19,IF($S$19=JX$11,$AB$19,""))))</f>
        <v/>
      </c>
      <c r="KA51" s="880" t="str">
        <f t="shared" si="204"/>
        <v/>
      </c>
      <c r="KB51" s="873" t="str">
        <f t="shared" si="205"/>
        <v/>
      </c>
      <c r="KC51" s="870" t="str">
        <f>IF($AC$16="","",IF(AND($S$19=KA$11,$U$19&lt;&gt;""),$U$19,IF(AND($S$19=KA$11,$AA$19&lt;&gt;""),$AA$19,IF($S$19=KA$11,$AB$19,""))))</f>
        <v/>
      </c>
      <c r="KD51" s="880" t="str">
        <f t="shared" si="206"/>
        <v/>
      </c>
      <c r="KE51" s="873" t="str">
        <f t="shared" si="207"/>
        <v/>
      </c>
      <c r="KF51" s="870" t="str">
        <f>IF($AC$16="","",IF(AND($S$19=KD$11,$U$19&lt;&gt;""),$U$19,IF(AND($S$19=KD$11,$AA$19&lt;&gt;""),$AA$19,IF($S$19=KD$11,$AB$19,""))))</f>
        <v/>
      </c>
      <c r="KG51" s="880" t="str">
        <f t="shared" si="208"/>
        <v/>
      </c>
      <c r="KH51" s="873" t="str">
        <f t="shared" si="209"/>
        <v/>
      </c>
      <c r="KI51" s="870" t="str">
        <f>IF($AC$16="","",IF(AND($S$19=KG$11,$U$19&lt;&gt;""),$U$19,IF(AND($S$19=KG$11,$AA$19&lt;&gt;""),$AA$19,IF($S$19=KG$11,$AB$19,""))))</f>
        <v/>
      </c>
      <c r="KJ51" s="880" t="str">
        <f t="shared" si="210"/>
        <v/>
      </c>
      <c r="KK51" s="873" t="str">
        <f t="shared" si="211"/>
        <v/>
      </c>
      <c r="KL51" s="870" t="str">
        <f>IF($AC$16="","",IF(AND($S$19=KJ$11,$U$19&lt;&gt;""),$U$19,IF(AND($S$19=KJ$11,$AA$19&lt;&gt;""),$AA$19,IF($S$19=KJ$11,$AB$19,""))))</f>
        <v/>
      </c>
      <c r="KM51" s="880" t="str">
        <f t="shared" si="212"/>
        <v/>
      </c>
      <c r="KN51" s="873" t="str">
        <f t="shared" si="213"/>
        <v/>
      </c>
      <c r="KO51" s="870" t="str">
        <f>IF($AC$16="","",IF(AND($S$19=KM$11,$U$19&lt;&gt;""),$U$19,IF(AND($S$19=KM$11,$AA$19&lt;&gt;""),$AA$19,IF($S$19=KM$11,$AB$19,""))))</f>
        <v/>
      </c>
      <c r="KP51" s="880" t="str">
        <f t="shared" si="214"/>
        <v/>
      </c>
      <c r="KQ51" s="873" t="str">
        <f t="shared" si="215"/>
        <v/>
      </c>
      <c r="KR51" s="870" t="str">
        <f>IF($AC$16="","",IF(AND($S$19=KP$11,$U$19&lt;&gt;""),$U$19,IF(AND($S$19=KP$11,$AA$19&lt;&gt;""),$AA$19,IF($S$19=KP$11,$AB$19,""))))</f>
        <v/>
      </c>
      <c r="KS51" s="880" t="str">
        <f t="shared" si="216"/>
        <v/>
      </c>
      <c r="KT51" s="873" t="str">
        <f t="shared" si="217"/>
        <v/>
      </c>
      <c r="KU51" s="870" t="str">
        <f>IF($AC$16="","",IF(AND($S$19=KS$11,$U$19&lt;&gt;""),$U$19,IF(AND($S$19=KS$11,$AA$19&lt;&gt;""),$AA$19,IF($S$19=KS$11,$AB$19,""))))</f>
        <v/>
      </c>
      <c r="KV51" s="880" t="str">
        <f t="shared" si="218"/>
        <v/>
      </c>
      <c r="KW51" s="873" t="str">
        <f t="shared" si="219"/>
        <v/>
      </c>
      <c r="KX51" s="870" t="str">
        <f>IF($AC$16="","",IF(AND($S$19=KV$11,$U$19&lt;&gt;""),$U$19,IF(AND($S$19=KV$11,$AA$19&lt;&gt;""),$AA$19,IF($S$19=KV$11,$AB$19,""))))</f>
        <v/>
      </c>
      <c r="KY51" s="880" t="str">
        <f t="shared" si="220"/>
        <v/>
      </c>
      <c r="KZ51" s="873" t="str">
        <f t="shared" si="221"/>
        <v/>
      </c>
      <c r="LA51" s="870" t="str">
        <f>IF($AC$16="","",IF(AND($S$19=KY$11,$U$19&lt;&gt;""),$U$19,IF(AND($S$19=KY$11,$AA$19&lt;&gt;""),$AA$19,IF($S$19=KY$11,$AB$19,""))))</f>
        <v/>
      </c>
      <c r="LB51" s="880" t="str">
        <f t="shared" si="222"/>
        <v/>
      </c>
      <c r="LC51" s="873" t="str">
        <f t="shared" si="223"/>
        <v/>
      </c>
      <c r="LD51" s="870" t="str">
        <f>IF($AC$16="","",IF(AND($S$19=LB$11,$U$19&lt;&gt;""),$U$19,IF(AND($S$19=LB$11,$AA$19&lt;&gt;""),$AA$19,IF($S$19=LB$11,$AB$19,""))))</f>
        <v/>
      </c>
      <c r="LE51" s="880" t="str">
        <f t="shared" si="224"/>
        <v/>
      </c>
      <c r="LF51" s="873" t="str">
        <f t="shared" si="225"/>
        <v/>
      </c>
      <c r="LG51" s="870" t="str">
        <f>IF($AC$16="","",IF(AND($S$19=LE$11,$U$19&lt;&gt;""),$U$19,IF(AND($S$19=LE$11,$AA$19&lt;&gt;""),$AA$19,IF($S$19=LE$11,$AB$19,""))))</f>
        <v/>
      </c>
      <c r="LH51"/>
      <c r="LI51"/>
      <c r="LJ51"/>
      <c r="LK51"/>
      <c r="LL51"/>
      <c r="LM51"/>
    </row>
    <row r="52" spans="4:325">
      <c r="D52" s="8"/>
      <c r="E52" s="8"/>
      <c r="F52" s="8"/>
      <c r="G52" s="8"/>
      <c r="H52" s="8"/>
      <c r="M52" s="8"/>
      <c r="N52" s="8"/>
      <c r="S52" s="8"/>
      <c r="T52" s="8"/>
      <c r="U52" s="8"/>
      <c r="V52" s="8"/>
      <c r="W52" s="8"/>
      <c r="AH52" s="8"/>
      <c r="AI52" s="8"/>
      <c r="AJ52" s="8"/>
      <c r="AK52" s="8"/>
      <c r="BJ52" s="8"/>
      <c r="CG52" s="762">
        <v>6</v>
      </c>
      <c r="CH52" s="770" t="str">
        <f t="shared" si="226"/>
        <v>Jan Klatovsky</v>
      </c>
      <c r="CI52" s="496">
        <f t="shared" si="227"/>
        <v>0</v>
      </c>
      <c r="CU52" s="13">
        <f t="shared" si="237"/>
        <v>15</v>
      </c>
      <c r="CV52" s="13">
        <f t="shared" si="228"/>
        <v>16</v>
      </c>
      <c r="CW52" s="13" t="str">
        <f t="shared" si="228"/>
        <v>Rene Stellingwerf</v>
      </c>
      <c r="CX52" s="13" t="str">
        <f t="shared" si="228"/>
        <v/>
      </c>
      <c r="CY52" s="13" t="str">
        <f t="shared" si="228"/>
        <v/>
      </c>
      <c r="CZ52" s="13" t="str">
        <f t="shared" si="228"/>
        <v/>
      </c>
      <c r="DC52" s="13">
        <f t="shared" si="238"/>
        <v>0</v>
      </c>
      <c r="DD52" s="243">
        <f t="shared" si="229"/>
        <v>0</v>
      </c>
      <c r="DE52" s="236">
        <f t="shared" si="239"/>
        <v>0</v>
      </c>
      <c r="DF52" s="232">
        <f t="shared" si="230"/>
        <v>0</v>
      </c>
      <c r="DG52" s="234">
        <f t="shared" si="240"/>
        <v>0</v>
      </c>
      <c r="DH52" s="232">
        <f t="shared" si="231"/>
        <v>0</v>
      </c>
      <c r="DI52" s="41">
        <f t="shared" si="241"/>
        <v>0</v>
      </c>
      <c r="DJ52" s="271">
        <f t="shared" si="232"/>
        <v>0</v>
      </c>
      <c r="DK52" s="273">
        <f t="shared" si="233"/>
        <v>0</v>
      </c>
      <c r="DL52" s="281">
        <f t="shared" si="242"/>
        <v>0</v>
      </c>
      <c r="DM52" s="643">
        <f t="shared" si="243"/>
        <v>4.4000000000000002E-7</v>
      </c>
      <c r="DN52" s="284">
        <f t="shared" si="234"/>
        <v>0</v>
      </c>
      <c r="DO52" s="284">
        <f t="shared" si="235"/>
        <v>0</v>
      </c>
      <c r="DP52" s="284">
        <f t="shared" si="236"/>
        <v>4.4000000000000002E-7</v>
      </c>
      <c r="FE52" s="667">
        <f>IF($FD$34=1,VLOOKUP($FB$34,$AH$32:$AQ$39,10,FALSE),0)</f>
        <v>0</v>
      </c>
      <c r="FG52" s="668">
        <f>IF($AR$40="",0,IF($FF$34=2,VLOOKUP($FB$34,$AH$40:$AR$43,10,FALSE),0))</f>
        <v>0</v>
      </c>
      <c r="FL52" s="716"/>
      <c r="FM52" s="716"/>
      <c r="FN52"/>
      <c r="FO52"/>
      <c r="FP52"/>
      <c r="FQ52"/>
      <c r="FR52"/>
      <c r="FS52"/>
      <c r="FT52"/>
      <c r="FU52"/>
      <c r="FV52"/>
      <c r="FW52"/>
      <c r="FX52"/>
      <c r="FY52"/>
      <c r="FZ52"/>
      <c r="GA52"/>
      <c r="GB52"/>
      <c r="GC52"/>
      <c r="GD52"/>
      <c r="GE52"/>
      <c r="GF52"/>
      <c r="GG52"/>
      <c r="GW52" s="1143">
        <v>11</v>
      </c>
      <c r="GX52" s="229" t="str">
        <f>IF($AC$20="","",IF($JB$20=$GX$3,$JC$20,IF(AND($W$20=$GX$3,$AA$20&lt;&gt;""),$AA$20,IF(AND($W$20=$GX$3,$AA$20=""),$AB$20,""))))</f>
        <v/>
      </c>
      <c r="GY52" s="299">
        <v>40</v>
      </c>
      <c r="GZ52" s="300" t="str">
        <f t="shared" si="105"/>
        <v/>
      </c>
      <c r="HA52" s="93" t="str">
        <f t="shared" si="62"/>
        <v/>
      </c>
      <c r="HB52" s="300"/>
      <c r="HC52" s="93" t="str">
        <f t="shared" si="106"/>
        <v/>
      </c>
      <c r="HG52" s="1143">
        <v>11</v>
      </c>
      <c r="HH52" s="229" t="str">
        <f>IF($AC$20="","",IF($JB$20=$HH$3,$JC$20,IF(AND($W$20=$HH$3,$AA$20&lt;&gt;""),$AA$20,IF(AND($W$20=$HH$3,$AA$20=""),$AB$20,""))))</f>
        <v/>
      </c>
      <c r="HI52" s="299">
        <v>40</v>
      </c>
      <c r="HJ52" s="300" t="str">
        <f t="shared" si="107"/>
        <v/>
      </c>
      <c r="HK52" s="93" t="str">
        <f t="shared" si="63"/>
        <v/>
      </c>
      <c r="HL52" s="300"/>
      <c r="HM52" s="93" t="str">
        <f t="shared" si="64"/>
        <v/>
      </c>
      <c r="HN52" s="324"/>
      <c r="JJ52" s="1334">
        <v>11</v>
      </c>
      <c r="JK52" s="875">
        <v>40</v>
      </c>
      <c r="JL52" s="878" t="str">
        <f t="shared" si="108"/>
        <v/>
      </c>
      <c r="JM52" s="871" t="str">
        <f t="shared" si="196"/>
        <v/>
      </c>
      <c r="JN52" s="868" t="str">
        <f>IF($AC$20="","",IF(AND($S$20=JL$11,$U$20&lt;&gt;""),$U$20,IF(AND($S$20=JL$11,$AA$20&lt;&gt;""),$AA$20,IF($S$20=JL$11,$AB$20,""))))</f>
        <v/>
      </c>
      <c r="JO52" s="878" t="str">
        <f t="shared" si="109"/>
        <v/>
      </c>
      <c r="JP52" s="871" t="str">
        <f t="shared" si="197"/>
        <v/>
      </c>
      <c r="JQ52" s="868" t="str">
        <f>IF($AC$20="","",IF(AND($S$20=JO$11,$U$20&lt;&gt;""),$U$20,IF(AND($S$20=JO$11,$AA$20&lt;&gt;""),$AA$20,IF($S$20=JO$11,$AB$20,""))))</f>
        <v/>
      </c>
      <c r="JR52" s="878" t="str">
        <f t="shared" si="198"/>
        <v/>
      </c>
      <c r="JS52" s="871" t="str">
        <f t="shared" si="199"/>
        <v/>
      </c>
      <c r="JT52" s="868" t="str">
        <f>IF($AC$20="","",IF(AND($S$20=JR$11,$U$20&lt;&gt;""),$U$20,IF(AND($S$20=JR$11,$AA$20&lt;&gt;""),$AA$20,IF($S$20=JR$11,$AB$20,""))))</f>
        <v/>
      </c>
      <c r="JU52" s="878" t="str">
        <f t="shared" si="200"/>
        <v/>
      </c>
      <c r="JV52" s="871" t="str">
        <f t="shared" si="201"/>
        <v/>
      </c>
      <c r="JW52" s="868" t="str">
        <f>IF($AC$20="","",IF(AND($S$20=JU$11,$U$20&lt;&gt;""),$U$20,IF(AND($S$20=JU$11,$AA$20&lt;&gt;""),$AA$20,IF($S$20=JU$11,$AB$20,""))))</f>
        <v/>
      </c>
      <c r="JX52" s="878" t="str">
        <f t="shared" si="202"/>
        <v/>
      </c>
      <c r="JY52" s="871" t="str">
        <f t="shared" si="203"/>
        <v/>
      </c>
      <c r="JZ52" s="868" t="str">
        <f>IF($AC$20="","",IF(AND($S$20=JX$11,$U$20&lt;&gt;""),$U$20,IF(AND($S$20=JX$11,$AA$20&lt;&gt;""),$AA$20,IF($S$20=JX$11,$AB$20,""))))</f>
        <v/>
      </c>
      <c r="KA52" s="878" t="str">
        <f t="shared" si="204"/>
        <v/>
      </c>
      <c r="KB52" s="871" t="str">
        <f t="shared" si="205"/>
        <v/>
      </c>
      <c r="KC52" s="868" t="str">
        <f>IF($AC$20="","",IF(AND($S$20=KA$11,$U$20&lt;&gt;""),$U$20,IF(AND($S$20=KA$11,$AA$20&lt;&gt;""),$AA$20,IF($S$20=KA$11,$AB$20,""))))</f>
        <v/>
      </c>
      <c r="KD52" s="878" t="str">
        <f t="shared" si="206"/>
        <v/>
      </c>
      <c r="KE52" s="871" t="str">
        <f t="shared" si="207"/>
        <v/>
      </c>
      <c r="KF52" s="868" t="str">
        <f>IF($AC$20="","",IF(AND($S$20=KD$11,$U$20&lt;&gt;""),$U$20,IF(AND($S$20=KD$11,$AA$20&lt;&gt;""),$AA$20,IF($S$20=KD$11,$AB$20,""))))</f>
        <v/>
      </c>
      <c r="KG52" s="878" t="str">
        <f t="shared" si="208"/>
        <v/>
      </c>
      <c r="KH52" s="871" t="str">
        <f t="shared" si="209"/>
        <v/>
      </c>
      <c r="KI52" s="868" t="str">
        <f>IF($AC$20="","",IF(AND($S$20=KG$11,$U$20&lt;&gt;""),$U$20,IF(AND($S$20=KG$11,$AA$20&lt;&gt;""),$AA$20,IF($S$20=KG$11,$AB$20,""))))</f>
        <v/>
      </c>
      <c r="KJ52" s="878" t="str">
        <f t="shared" si="210"/>
        <v/>
      </c>
      <c r="KK52" s="871" t="str">
        <f t="shared" si="211"/>
        <v/>
      </c>
      <c r="KL52" s="868" t="str">
        <f>IF($AC$20="","",IF(AND($S$20=KJ$11,$U$20&lt;&gt;""),$U$20,IF(AND($S$20=KJ$11,$AA$20&lt;&gt;""),$AA$20,IF($S$20=KJ$11,$AB$20,""))))</f>
        <v/>
      </c>
      <c r="KM52" s="878" t="str">
        <f t="shared" si="212"/>
        <v/>
      </c>
      <c r="KN52" s="871" t="str">
        <f t="shared" si="213"/>
        <v/>
      </c>
      <c r="KO52" s="868" t="str">
        <f>IF($AC$20="","",IF(AND($S$20=KM$11,$U$20&lt;&gt;""),$U$20,IF(AND($S$20=KM$11,$AA$20&lt;&gt;""),$AA$20,IF($S$20=KM$11,$AB$20,""))))</f>
        <v/>
      </c>
      <c r="KP52" s="878" t="str">
        <f t="shared" si="214"/>
        <v/>
      </c>
      <c r="KQ52" s="871" t="str">
        <f t="shared" si="215"/>
        <v/>
      </c>
      <c r="KR52" s="868" t="str">
        <f>IF($AC$20="","",IF(AND($S$20=KP$11,$U$20&lt;&gt;""),$U$20,IF(AND($S$20=KP$11,$AA$20&lt;&gt;""),$AA$20,IF($S$20=KP$11,$AB$20,""))))</f>
        <v/>
      </c>
      <c r="KS52" s="878" t="str">
        <f t="shared" si="216"/>
        <v/>
      </c>
      <c r="KT52" s="871" t="str">
        <f t="shared" si="217"/>
        <v/>
      </c>
      <c r="KU52" s="868" t="str">
        <f>IF($AC$20="","",IF(AND($S$20=KS$11,$U$20&lt;&gt;""),$U$20,IF(AND($S$20=KS$11,$AA$20&lt;&gt;""),$AA$20,IF($S$20=KS$11,$AB$20,""))))</f>
        <v/>
      </c>
      <c r="KV52" s="878" t="str">
        <f t="shared" si="218"/>
        <v/>
      </c>
      <c r="KW52" s="871" t="str">
        <f t="shared" si="219"/>
        <v/>
      </c>
      <c r="KX52" s="868" t="str">
        <f>IF($AC$20="","",IF(AND($S$20=KV$11,$U$20&lt;&gt;""),$U$20,IF(AND($S$20=KV$11,$AA$20&lt;&gt;""),$AA$20,IF($S$20=KV$11,$AB$20,""))))</f>
        <v/>
      </c>
      <c r="KY52" s="878" t="str">
        <f t="shared" si="220"/>
        <v/>
      </c>
      <c r="KZ52" s="871" t="str">
        <f t="shared" si="221"/>
        <v/>
      </c>
      <c r="LA52" s="868" t="str">
        <f>IF($AC$20="","",IF(AND($S$20=KY$11,$U$20&lt;&gt;""),$U$20,IF(AND($S$20=KY$11,$AA$20&lt;&gt;""),$AA$20,IF($S$20=KY$11,$AB$20,""))))</f>
        <v/>
      </c>
      <c r="LB52" s="878" t="str">
        <f t="shared" si="222"/>
        <v/>
      </c>
      <c r="LC52" s="871" t="str">
        <f t="shared" si="223"/>
        <v/>
      </c>
      <c r="LD52" s="868" t="str">
        <f>IF($AC$20="","",IF(AND($S$20=LB$11,$U$20&lt;&gt;""),$U$20,IF(AND($S$20=LB$11,$AA$20&lt;&gt;""),$AA$20,IF($S$20=LB$11,$AB$20,""))))</f>
        <v/>
      </c>
      <c r="LE52" s="878" t="str">
        <f t="shared" si="224"/>
        <v/>
      </c>
      <c r="LF52" s="871" t="str">
        <f t="shared" si="225"/>
        <v/>
      </c>
      <c r="LG52" s="868" t="str">
        <f>IF($AC$20="","",IF(AND($S$20=LE$11,$U$20&lt;&gt;""),$U$20,IF(AND($S$20=LE$11,$AA$20&lt;&gt;""),$AA$20,IF($S$20=LE$11,$AB$20,""))))</f>
        <v/>
      </c>
      <c r="LH52"/>
      <c r="LI52"/>
      <c r="LJ52"/>
      <c r="LK52"/>
      <c r="LL52"/>
      <c r="LM52"/>
    </row>
    <row r="53" spans="4:325">
      <c r="D53" s="8"/>
      <c r="E53" s="8"/>
      <c r="F53" s="8"/>
      <c r="G53" s="8"/>
      <c r="H53" s="8"/>
      <c r="M53" s="8"/>
      <c r="N53" s="8"/>
      <c r="S53" s="8"/>
      <c r="T53" s="8"/>
      <c r="U53" s="8"/>
      <c r="V53" s="8"/>
      <c r="W53" s="8"/>
      <c r="AH53" s="8"/>
      <c r="AI53" s="8"/>
      <c r="AJ53" s="8"/>
      <c r="AK53" s="8"/>
      <c r="BJ53" s="8"/>
      <c r="CG53" s="762">
        <v>7</v>
      </c>
      <c r="CH53" s="770" t="str">
        <f t="shared" si="226"/>
        <v>Gunter Bauer</v>
      </c>
      <c r="CI53" s="496">
        <f t="shared" si="227"/>
        <v>0</v>
      </c>
      <c r="CU53" s="13">
        <f t="shared" si="237"/>
        <v>4</v>
      </c>
      <c r="CV53" s="13">
        <f t="shared" si="228"/>
        <v>4</v>
      </c>
      <c r="CW53" s="13" t="str">
        <f t="shared" si="228"/>
        <v>Igor Kononov</v>
      </c>
      <c r="CX53" s="13" t="str">
        <f t="shared" si="228"/>
        <v/>
      </c>
      <c r="CY53" s="13" t="str">
        <f t="shared" si="228"/>
        <v/>
      </c>
      <c r="CZ53" s="13" t="str">
        <f t="shared" si="228"/>
        <v/>
      </c>
      <c r="DC53" s="13">
        <f t="shared" si="238"/>
        <v>0</v>
      </c>
      <c r="DD53" s="243">
        <f t="shared" si="229"/>
        <v>0</v>
      </c>
      <c r="DE53" s="236">
        <f t="shared" si="239"/>
        <v>0</v>
      </c>
      <c r="DF53" s="232">
        <f t="shared" si="230"/>
        <v>0</v>
      </c>
      <c r="DG53" s="234">
        <f t="shared" si="240"/>
        <v>0</v>
      </c>
      <c r="DH53" s="232">
        <f t="shared" si="231"/>
        <v>0</v>
      </c>
      <c r="DI53" s="41">
        <f t="shared" si="241"/>
        <v>0</v>
      </c>
      <c r="DJ53" s="271">
        <f t="shared" si="232"/>
        <v>0</v>
      </c>
      <c r="DK53" s="273">
        <f t="shared" si="233"/>
        <v>0</v>
      </c>
      <c r="DL53" s="281">
        <f t="shared" si="242"/>
        <v>0</v>
      </c>
      <c r="DM53" s="644">
        <f t="shared" si="243"/>
        <v>5.6000000000000004E-7</v>
      </c>
      <c r="DN53" s="285">
        <f t="shared" si="234"/>
        <v>0</v>
      </c>
      <c r="DO53" s="285">
        <f t="shared" si="235"/>
        <v>0</v>
      </c>
      <c r="DP53" s="285">
        <f t="shared" si="236"/>
        <v>5.6000000000000004E-7</v>
      </c>
      <c r="FE53" s="655">
        <f>IF($FD$35=1,VLOOKUP($FB$35,$AH$32:$AQ$39,10,FALSE),0)</f>
        <v>0</v>
      </c>
      <c r="FG53" s="658">
        <f>IF($AR$40="",0,IF($FF$35=2,VLOOKUP($FB$35,$AH$40:$AR$43,10,FALSE),0))</f>
        <v>0</v>
      </c>
      <c r="FL53" s="716"/>
      <c r="FM53" s="716"/>
      <c r="FN53"/>
      <c r="FO53"/>
      <c r="FP53"/>
      <c r="FQ53"/>
      <c r="FR53"/>
      <c r="FS53"/>
      <c r="FT53"/>
      <c r="FU53"/>
      <c r="FV53"/>
      <c r="FW53"/>
      <c r="FX53"/>
      <c r="FY53"/>
      <c r="FZ53"/>
      <c r="GA53"/>
      <c r="GB53"/>
      <c r="GC53"/>
      <c r="GD53"/>
      <c r="GE53"/>
      <c r="GF53"/>
      <c r="GG53"/>
      <c r="GW53" s="1144"/>
      <c r="GX53" s="230" t="str">
        <f>IF($AC$20="","",IF($JB$21=$GX$3,$JC$21,IF(AND($W$21=$GX$3,$AA$21&lt;&gt;""),$AA$21,IF(AND($W$21=$GX$3,$AA$21=""),$AB$21,""))))</f>
        <v/>
      </c>
      <c r="GY53" s="301">
        <v>39</v>
      </c>
      <c r="GZ53" s="5" t="str">
        <f t="shared" si="105"/>
        <v/>
      </c>
      <c r="HA53" s="95" t="str">
        <f t="shared" si="62"/>
        <v/>
      </c>
      <c r="HB53" s="5"/>
      <c r="HC53" s="95" t="str">
        <f t="shared" si="106"/>
        <v/>
      </c>
      <c r="HG53" s="1144"/>
      <c r="HH53" s="230" t="str">
        <f>IF($AC$20="","",IF($JB$21=$HH$3,$JC$21,IF(AND($W$21=$HH$3,$AA$21&lt;&gt;""),$AA$21,IF(AND($W$21=$HH$3,$AA$21=""),$AB$21,""))))</f>
        <v/>
      </c>
      <c r="HI53" s="301">
        <v>39</v>
      </c>
      <c r="HJ53" s="5" t="str">
        <f t="shared" si="107"/>
        <v/>
      </c>
      <c r="HK53" s="95" t="str">
        <f t="shared" si="63"/>
        <v/>
      </c>
      <c r="HL53" s="5"/>
      <c r="HM53" s="95" t="str">
        <f t="shared" si="64"/>
        <v/>
      </c>
      <c r="HN53" s="324"/>
      <c r="JJ53" s="1335"/>
      <c r="JK53" s="876">
        <v>39</v>
      </c>
      <c r="JL53" s="879" t="str">
        <f t="shared" si="108"/>
        <v/>
      </c>
      <c r="JM53" s="662" t="str">
        <f t="shared" si="196"/>
        <v/>
      </c>
      <c r="JN53" s="869" t="str">
        <f>IF($AC$20="","",IF(AND($S$21=JL$11,$U$21&lt;&gt;""),$U$21,IF(AND($S$21=JL$11,$AA$21&lt;&gt;""),$AA$21,IF($S$21=JL$11,$AB$21,""))))</f>
        <v/>
      </c>
      <c r="JO53" s="879" t="str">
        <f t="shared" si="109"/>
        <v/>
      </c>
      <c r="JP53" s="662" t="str">
        <f t="shared" si="197"/>
        <v/>
      </c>
      <c r="JQ53" s="869" t="str">
        <f>IF($AC$20="","",IF(AND($S$21=JO$11,$U$21&lt;&gt;""),$U$21,IF(AND($S$21=JO$11,$AA$21&lt;&gt;""),$AA$21,IF($S$21=JO$11,$AB$21,""))))</f>
        <v/>
      </c>
      <c r="JR53" s="879" t="str">
        <f t="shared" si="198"/>
        <v/>
      </c>
      <c r="JS53" s="662" t="str">
        <f t="shared" si="199"/>
        <v/>
      </c>
      <c r="JT53" s="869" t="str">
        <f>IF($AC$20="","",IF(AND($S$21=JR$11,$U$21&lt;&gt;""),$U$21,IF(AND($S$21=JR$11,$AA$21&lt;&gt;""),$AA$21,IF($S$21=JR$11,$AB$21,""))))</f>
        <v/>
      </c>
      <c r="JU53" s="879" t="str">
        <f t="shared" si="200"/>
        <v/>
      </c>
      <c r="JV53" s="662" t="str">
        <f t="shared" si="201"/>
        <v/>
      </c>
      <c r="JW53" s="869" t="str">
        <f>IF($AC$20="","",IF(AND($S$21=JU$11,$U$21&lt;&gt;""),$U$21,IF(AND($S$21=JU$11,$AA$21&lt;&gt;""),$AA$21,IF($S$21=JU$11,$AB$21,""))))</f>
        <v/>
      </c>
      <c r="JX53" s="879" t="str">
        <f t="shared" si="202"/>
        <v/>
      </c>
      <c r="JY53" s="662" t="str">
        <f t="shared" si="203"/>
        <v/>
      </c>
      <c r="JZ53" s="869" t="str">
        <f>IF($AC$20="","",IF(AND($S$21=JX$11,$U$21&lt;&gt;""),$U$21,IF(AND($S$21=JX$11,$AA$21&lt;&gt;""),$AA$21,IF($S$21=JX$11,$AB$21,""))))</f>
        <v/>
      </c>
      <c r="KA53" s="879" t="str">
        <f t="shared" si="204"/>
        <v/>
      </c>
      <c r="KB53" s="662" t="str">
        <f t="shared" si="205"/>
        <v/>
      </c>
      <c r="KC53" s="869" t="str">
        <f>IF($AC$20="","",IF(AND($S$21=KA$11,$U$21&lt;&gt;""),$U$21,IF(AND($S$21=KA$11,$AA$21&lt;&gt;""),$AA$21,IF($S$21=KA$11,$AB$21,""))))</f>
        <v/>
      </c>
      <c r="KD53" s="879" t="str">
        <f t="shared" si="206"/>
        <v/>
      </c>
      <c r="KE53" s="662" t="str">
        <f t="shared" si="207"/>
        <v/>
      </c>
      <c r="KF53" s="869" t="str">
        <f>IF($AC$20="","",IF(AND($S$21=KD$11,$U$21&lt;&gt;""),$U$21,IF(AND($S$21=KD$11,$AA$21&lt;&gt;""),$AA$21,IF($S$21=KD$11,$AB$21,""))))</f>
        <v/>
      </c>
      <c r="KG53" s="879" t="str">
        <f t="shared" si="208"/>
        <v/>
      </c>
      <c r="KH53" s="662" t="str">
        <f t="shared" si="209"/>
        <v/>
      </c>
      <c r="KI53" s="869" t="str">
        <f>IF($AC$20="","",IF(AND($S$21=KG$11,$U$21&lt;&gt;""),$U$21,IF(AND($S$21=KG$11,$AA$21&lt;&gt;""),$AA$21,IF($S$21=KG$11,$AB$21,""))))</f>
        <v/>
      </c>
      <c r="KJ53" s="879" t="str">
        <f t="shared" si="210"/>
        <v/>
      </c>
      <c r="KK53" s="662" t="str">
        <f t="shared" si="211"/>
        <v/>
      </c>
      <c r="KL53" s="869" t="str">
        <f>IF($AC$20="","",IF(AND($S$21=KJ$11,$U$21&lt;&gt;""),$U$21,IF(AND($S$21=KJ$11,$AA$21&lt;&gt;""),$AA$21,IF($S$21=KJ$11,$AB$21,""))))</f>
        <v/>
      </c>
      <c r="KM53" s="879" t="str">
        <f t="shared" si="212"/>
        <v/>
      </c>
      <c r="KN53" s="662" t="str">
        <f t="shared" si="213"/>
        <v/>
      </c>
      <c r="KO53" s="869" t="str">
        <f>IF($AC$20="","",IF(AND($S$21=KM$11,$U$21&lt;&gt;""),$U$21,IF(AND($S$21=KM$11,$AA$21&lt;&gt;""),$AA$21,IF($S$21=KM$11,$AB$21,""))))</f>
        <v/>
      </c>
      <c r="KP53" s="879" t="str">
        <f t="shared" si="214"/>
        <v/>
      </c>
      <c r="KQ53" s="662" t="str">
        <f t="shared" si="215"/>
        <v/>
      </c>
      <c r="KR53" s="869" t="str">
        <f>IF($AC$20="","",IF(AND($S$21=KP$11,$U$21&lt;&gt;""),$U$21,IF(AND($S$21=KP$11,$AA$21&lt;&gt;""),$AA$21,IF($S$21=KP$11,$AB$21,""))))</f>
        <v/>
      </c>
      <c r="KS53" s="879" t="str">
        <f t="shared" si="216"/>
        <v/>
      </c>
      <c r="KT53" s="662" t="str">
        <f t="shared" si="217"/>
        <v/>
      </c>
      <c r="KU53" s="869" t="str">
        <f>IF($AC$20="","",IF(AND($S$21=KS$11,$U$21&lt;&gt;""),$U$21,IF(AND($S$21=KS$11,$AA$21&lt;&gt;""),$AA$21,IF($S$21=KS$11,$AB$21,""))))</f>
        <v/>
      </c>
      <c r="KV53" s="879" t="str">
        <f t="shared" si="218"/>
        <v/>
      </c>
      <c r="KW53" s="662" t="str">
        <f t="shared" si="219"/>
        <v/>
      </c>
      <c r="KX53" s="869" t="str">
        <f>IF($AC$20="","",IF(AND($S$21=KV$11,$U$21&lt;&gt;""),$U$21,IF(AND($S$21=KV$11,$AA$21&lt;&gt;""),$AA$21,IF($S$21=KV$11,$AB$21,""))))</f>
        <v/>
      </c>
      <c r="KY53" s="879" t="str">
        <f t="shared" si="220"/>
        <v/>
      </c>
      <c r="KZ53" s="662" t="str">
        <f t="shared" si="221"/>
        <v/>
      </c>
      <c r="LA53" s="869" t="str">
        <f>IF($AC$20="","",IF(AND($S$21=KY$11,$U$21&lt;&gt;""),$U$21,IF(AND($S$21=KY$11,$AA$21&lt;&gt;""),$AA$21,IF($S$21=KY$11,$AB$21,""))))</f>
        <v/>
      </c>
      <c r="LB53" s="879" t="str">
        <f t="shared" si="222"/>
        <v/>
      </c>
      <c r="LC53" s="662" t="str">
        <f t="shared" si="223"/>
        <v/>
      </c>
      <c r="LD53" s="869" t="str">
        <f>IF($AC$20="","",IF(AND($S$21=LB$11,$U$21&lt;&gt;""),$U$21,IF(AND($S$21=LB$11,$AA$21&lt;&gt;""),$AA$21,IF($S$21=LB$11,$AB$21,""))))</f>
        <v/>
      </c>
      <c r="LE53" s="879" t="str">
        <f t="shared" si="224"/>
        <v/>
      </c>
      <c r="LF53" s="662" t="str">
        <f t="shared" si="225"/>
        <v/>
      </c>
      <c r="LG53" s="869" t="str">
        <f>IF($AC$20="","",IF(AND($S$21=LE$11,$U$21&lt;&gt;""),$U$21,IF(AND($S$21=LE$11,$AA$21&lt;&gt;""),$AA$21,IF($S$21=LE$11,$AB$21,""))))</f>
        <v/>
      </c>
      <c r="LH53"/>
      <c r="LI53"/>
      <c r="LJ53"/>
      <c r="LK53"/>
      <c r="LL53"/>
      <c r="LM53"/>
    </row>
    <row r="54" spans="4:325">
      <c r="D54" s="8"/>
      <c r="E54" s="8"/>
      <c r="F54" s="8"/>
      <c r="G54" s="8"/>
      <c r="H54" s="8"/>
      <c r="M54" s="8"/>
      <c r="N54" s="8"/>
      <c r="S54" s="8"/>
      <c r="T54" s="8"/>
      <c r="U54" s="8"/>
      <c r="V54" s="8"/>
      <c r="W54" s="8"/>
      <c r="AH54" s="8"/>
      <c r="AI54" s="8"/>
      <c r="AJ54" s="8"/>
      <c r="AK54" s="8"/>
      <c r="BJ54" s="8"/>
      <c r="CG54" s="762">
        <v>8</v>
      </c>
      <c r="CH54" s="770" t="str">
        <f t="shared" si="226"/>
        <v>Stefan Pletschacher</v>
      </c>
      <c r="CI54" s="496">
        <f t="shared" si="227"/>
        <v>0</v>
      </c>
      <c r="CU54" s="13">
        <f t="shared" si="237"/>
        <v>7</v>
      </c>
      <c r="CV54" s="13">
        <f t="shared" si="228"/>
        <v>7</v>
      </c>
      <c r="CW54" s="13" t="str">
        <f t="shared" si="228"/>
        <v>Gunter Bauer</v>
      </c>
      <c r="CX54" s="13" t="str">
        <f t="shared" si="228"/>
        <v/>
      </c>
      <c r="CY54" s="13" t="str">
        <f t="shared" si="228"/>
        <v/>
      </c>
      <c r="CZ54" s="13" t="str">
        <f t="shared" si="228"/>
        <v/>
      </c>
      <c r="DC54" s="13">
        <f t="shared" si="238"/>
        <v>0</v>
      </c>
      <c r="DD54" s="243">
        <f t="shared" si="229"/>
        <v>0</v>
      </c>
      <c r="DE54" s="236">
        <f t="shared" si="239"/>
        <v>0</v>
      </c>
      <c r="DF54" s="232">
        <f t="shared" si="230"/>
        <v>0</v>
      </c>
      <c r="DG54" s="234">
        <f t="shared" si="240"/>
        <v>0</v>
      </c>
      <c r="DH54" s="232">
        <f t="shared" si="231"/>
        <v>0</v>
      </c>
      <c r="DI54" s="41">
        <f t="shared" si="241"/>
        <v>0</v>
      </c>
      <c r="DJ54" s="271">
        <f t="shared" si="232"/>
        <v>0</v>
      </c>
      <c r="DK54" s="273">
        <f t="shared" si="233"/>
        <v>0</v>
      </c>
      <c r="DL54" s="281">
        <f t="shared" si="242"/>
        <v>0</v>
      </c>
      <c r="DM54" s="643">
        <f t="shared" si="243"/>
        <v>5.3000000000000001E-7</v>
      </c>
      <c r="DN54" s="284">
        <f t="shared" si="234"/>
        <v>0</v>
      </c>
      <c r="DO54" s="284">
        <f t="shared" si="235"/>
        <v>0</v>
      </c>
      <c r="DP54" s="284">
        <f t="shared" si="236"/>
        <v>5.3000000000000001E-7</v>
      </c>
      <c r="FE54" s="667">
        <f>IF($FD$36=1,VLOOKUP($FB$36,$AH$32:$AQ$39,10,FALSE),0)</f>
        <v>0</v>
      </c>
      <c r="FG54" s="668">
        <f>IF($AR$40="",0,IF($FF$36=2,VLOOKUP($FB$36,$AH$40:$AR$43,10,FALSE),0))</f>
        <v>0</v>
      </c>
      <c r="FL54" s="716"/>
      <c r="FM54" s="716"/>
      <c r="FN54"/>
      <c r="FO54"/>
      <c r="FP54"/>
      <c r="FQ54"/>
      <c r="FR54"/>
      <c r="FS54"/>
      <c r="FT54"/>
      <c r="FU54"/>
      <c r="FV54"/>
      <c r="FW54"/>
      <c r="FX54"/>
      <c r="FY54"/>
      <c r="FZ54"/>
      <c r="GA54"/>
      <c r="GB54"/>
      <c r="GC54"/>
      <c r="GD54"/>
      <c r="GE54"/>
      <c r="GF54"/>
      <c r="GG54"/>
      <c r="GW54" s="1144"/>
      <c r="GX54" s="230" t="str">
        <f>IF($AC$20="","",IF($JB$22=$GX$3,$JC$22,IF(AND($W$22=$GX$3,$AA$22&lt;&gt;""),$AA$22,IF(AND($W$22=$GX$3,$AA$22=""),$AB$22,""))))</f>
        <v/>
      </c>
      <c r="GY54" s="301">
        <v>38</v>
      </c>
      <c r="GZ54" s="5" t="str">
        <f t="shared" si="105"/>
        <v/>
      </c>
      <c r="HA54" s="95" t="str">
        <f t="shared" si="62"/>
        <v/>
      </c>
      <c r="HB54" s="5"/>
      <c r="HC54" s="95" t="str">
        <f t="shared" si="106"/>
        <v/>
      </c>
      <c r="HG54" s="1144"/>
      <c r="HH54" s="230" t="str">
        <f>IF($AC$20="","",IF($JB$22=$HH$3,$JC$22,IF(AND($W$22=$HH$3,$AA$22&lt;&gt;""),$AA$22,IF(AND($W$22=$HH$3,$AA$22=""),$AB$22,""))))</f>
        <v/>
      </c>
      <c r="HI54" s="301">
        <v>38</v>
      </c>
      <c r="HJ54" s="5" t="str">
        <f t="shared" si="107"/>
        <v/>
      </c>
      <c r="HK54" s="95" t="str">
        <f t="shared" si="63"/>
        <v/>
      </c>
      <c r="HL54" s="5"/>
      <c r="HM54" s="95" t="str">
        <f t="shared" si="64"/>
        <v/>
      </c>
      <c r="JJ54" s="1335"/>
      <c r="JK54" s="876">
        <v>38</v>
      </c>
      <c r="JL54" s="879" t="str">
        <f t="shared" si="108"/>
        <v/>
      </c>
      <c r="JM54" s="662" t="str">
        <f t="shared" si="196"/>
        <v/>
      </c>
      <c r="JN54" s="869" t="str">
        <f>IF($AC$20="","",IF(AND($S$22=JL$11,$U$22&lt;&gt;""),$U$22,IF(AND($S$22=JL$11,$AA$22&lt;&gt;""),$AA$22,IF($S$22=JL$11,$AB$22,""))))</f>
        <v/>
      </c>
      <c r="JO54" s="879" t="str">
        <f t="shared" si="109"/>
        <v/>
      </c>
      <c r="JP54" s="662" t="str">
        <f t="shared" si="197"/>
        <v/>
      </c>
      <c r="JQ54" s="869" t="str">
        <f>IF($AC$20="","",IF(AND($S$22=JO$11,$U$22&lt;&gt;""),$U$22,IF(AND($S$22=JO$11,$AA$22&lt;&gt;""),$AA$22,IF($S$22=JO$11,$AB$22,""))))</f>
        <v/>
      </c>
      <c r="JR54" s="879" t="str">
        <f t="shared" si="198"/>
        <v/>
      </c>
      <c r="JS54" s="662" t="str">
        <f t="shared" si="199"/>
        <v/>
      </c>
      <c r="JT54" s="869" t="str">
        <f>IF($AC$20="","",IF(AND($S$22=JR$11,$U$22&lt;&gt;""),$U$22,IF(AND($S$22=JR$11,$AA$22&lt;&gt;""),$AA$22,IF($S$22=JR$11,$AB$22,""))))</f>
        <v/>
      </c>
      <c r="JU54" s="879" t="str">
        <f t="shared" si="200"/>
        <v/>
      </c>
      <c r="JV54" s="662" t="str">
        <f t="shared" si="201"/>
        <v/>
      </c>
      <c r="JW54" s="869" t="str">
        <f>IF($AC$20="","",IF(AND($S$22=JU$11,$U$22&lt;&gt;""),$U$22,IF(AND($S$22=JU$11,$AA$22&lt;&gt;""),$AA$22,IF($S$22=JU$11,$AB$22,""))))</f>
        <v/>
      </c>
      <c r="JX54" s="879" t="str">
        <f t="shared" si="202"/>
        <v/>
      </c>
      <c r="JY54" s="662" t="str">
        <f t="shared" si="203"/>
        <v/>
      </c>
      <c r="JZ54" s="869" t="str">
        <f>IF($AC$20="","",IF(AND($S$22=JX$11,$U$22&lt;&gt;""),$U$22,IF(AND($S$22=JX$11,$AA$22&lt;&gt;""),$AA$22,IF($S$22=JX$11,$AB$22,""))))</f>
        <v/>
      </c>
      <c r="KA54" s="879" t="str">
        <f t="shared" si="204"/>
        <v/>
      </c>
      <c r="KB54" s="662" t="str">
        <f t="shared" si="205"/>
        <v/>
      </c>
      <c r="KC54" s="869" t="str">
        <f>IF($AC$20="","",IF(AND($S$22=KA$11,$U$22&lt;&gt;""),$U$22,IF(AND($S$22=KA$11,$AA$22&lt;&gt;""),$AA$22,IF($S$22=KA$11,$AB$22,""))))</f>
        <v/>
      </c>
      <c r="KD54" s="879" t="str">
        <f t="shared" si="206"/>
        <v/>
      </c>
      <c r="KE54" s="662" t="str">
        <f t="shared" si="207"/>
        <v/>
      </c>
      <c r="KF54" s="869" t="str">
        <f>IF($AC$20="","",IF(AND($S$22=KD$11,$U$22&lt;&gt;""),$U$22,IF(AND($S$22=KD$11,$AA$22&lt;&gt;""),$AA$22,IF($S$22=KD$11,$AB$22,""))))</f>
        <v/>
      </c>
      <c r="KG54" s="879" t="str">
        <f t="shared" si="208"/>
        <v/>
      </c>
      <c r="KH54" s="662" t="str">
        <f t="shared" si="209"/>
        <v/>
      </c>
      <c r="KI54" s="869" t="str">
        <f>IF($AC$20="","",IF(AND($S$22=KG$11,$U$22&lt;&gt;""),$U$22,IF(AND($S$22=KG$11,$AA$22&lt;&gt;""),$AA$22,IF($S$22=KG$11,$AB$22,""))))</f>
        <v/>
      </c>
      <c r="KJ54" s="879" t="str">
        <f t="shared" si="210"/>
        <v/>
      </c>
      <c r="KK54" s="662" t="str">
        <f t="shared" si="211"/>
        <v/>
      </c>
      <c r="KL54" s="869" t="str">
        <f>IF($AC$20="","",IF(AND($S$22=KJ$11,$U$22&lt;&gt;""),$U$22,IF(AND($S$22=KJ$11,$AA$22&lt;&gt;""),$AA$22,IF($S$22=KJ$11,$AB$22,""))))</f>
        <v/>
      </c>
      <c r="KM54" s="879" t="str">
        <f t="shared" si="212"/>
        <v/>
      </c>
      <c r="KN54" s="662" t="str">
        <f t="shared" si="213"/>
        <v/>
      </c>
      <c r="KO54" s="869" t="str">
        <f>IF($AC$20="","",IF(AND($S$22=KM$11,$U$22&lt;&gt;""),$U$22,IF(AND($S$22=KM$11,$AA$22&lt;&gt;""),$AA$22,IF($S$22=KM$11,$AB$22,""))))</f>
        <v/>
      </c>
      <c r="KP54" s="879" t="str">
        <f t="shared" si="214"/>
        <v/>
      </c>
      <c r="KQ54" s="662" t="str">
        <f t="shared" si="215"/>
        <v/>
      </c>
      <c r="KR54" s="869" t="str">
        <f>IF($AC$20="","",IF(AND($S$22=KP$11,$U$22&lt;&gt;""),$U$22,IF(AND($S$22=KP$11,$AA$22&lt;&gt;""),$AA$22,IF($S$22=KP$11,$AB$22,""))))</f>
        <v/>
      </c>
      <c r="KS54" s="879" t="str">
        <f t="shared" si="216"/>
        <v/>
      </c>
      <c r="KT54" s="662" t="str">
        <f t="shared" si="217"/>
        <v/>
      </c>
      <c r="KU54" s="869" t="str">
        <f>IF($AC$20="","",IF(AND($S$22=KS$11,$U$22&lt;&gt;""),$U$22,IF(AND($S$22=KS$11,$AA$22&lt;&gt;""),$AA$22,IF($S$22=KS$11,$AB$22,""))))</f>
        <v/>
      </c>
      <c r="KV54" s="879" t="str">
        <f t="shared" si="218"/>
        <v/>
      </c>
      <c r="KW54" s="662" t="str">
        <f t="shared" si="219"/>
        <v/>
      </c>
      <c r="KX54" s="869" t="str">
        <f>IF($AC$20="","",IF(AND($S$22=KV$11,$U$22&lt;&gt;""),$U$22,IF(AND($S$22=KV$11,$AA$22&lt;&gt;""),$AA$22,IF($S$22=KV$11,$AB$22,""))))</f>
        <v/>
      </c>
      <c r="KY54" s="879" t="str">
        <f t="shared" si="220"/>
        <v/>
      </c>
      <c r="KZ54" s="662" t="str">
        <f t="shared" si="221"/>
        <v/>
      </c>
      <c r="LA54" s="869" t="str">
        <f>IF($AC$20="","",IF(AND($S$22=KY$11,$U$22&lt;&gt;""),$U$22,IF(AND($S$22=KY$11,$AA$22&lt;&gt;""),$AA$22,IF($S$22=KY$11,$AB$22,""))))</f>
        <v/>
      </c>
      <c r="LB54" s="879" t="str">
        <f t="shared" si="222"/>
        <v/>
      </c>
      <c r="LC54" s="662" t="str">
        <f t="shared" si="223"/>
        <v/>
      </c>
      <c r="LD54" s="869" t="str">
        <f>IF($AC$20="","",IF(AND($S$22=LB$11,$U$22&lt;&gt;""),$U$22,IF(AND($S$22=LB$11,$AA$22&lt;&gt;""),$AA$22,IF($S$22=LB$11,$AB$22,""))))</f>
        <v/>
      </c>
      <c r="LE54" s="879" t="str">
        <f t="shared" si="224"/>
        <v/>
      </c>
      <c r="LF54" s="662" t="str">
        <f t="shared" si="225"/>
        <v/>
      </c>
      <c r="LG54" s="869" t="str">
        <f>IF($AC$20="","",IF(AND($S$22=LE$11,$U$22&lt;&gt;""),$U$22,IF(AND($S$22=LE$11,$AA$22&lt;&gt;""),$AA$22,IF($S$22=LE$11,$AB$22,""))))</f>
        <v/>
      </c>
      <c r="LH54"/>
      <c r="LI54"/>
      <c r="LJ54"/>
      <c r="LK54"/>
      <c r="LL54"/>
      <c r="LM54"/>
    </row>
    <row r="55" spans="4:325" ht="13.5" thickBot="1">
      <c r="D55" s="8"/>
      <c r="E55" s="8"/>
      <c r="F55" s="8"/>
      <c r="G55" s="8"/>
      <c r="H55" s="8"/>
      <c r="M55" s="8"/>
      <c r="N55" s="8"/>
      <c r="S55" s="8"/>
      <c r="T55" s="8"/>
      <c r="U55" s="8"/>
      <c r="V55" s="8"/>
      <c r="W55" s="8"/>
      <c r="AH55" s="8"/>
      <c r="AI55" s="8"/>
      <c r="AJ55" s="8"/>
      <c r="AK55" s="8"/>
      <c r="BJ55" s="8"/>
      <c r="CG55" s="762">
        <v>9</v>
      </c>
      <c r="CH55" s="770" t="str">
        <f t="shared" si="226"/>
        <v>Per-Anders Lindstrom</v>
      </c>
      <c r="CI55" s="496">
        <f t="shared" si="227"/>
        <v>0</v>
      </c>
      <c r="CU55" s="13">
        <f t="shared" si="237"/>
        <v>1</v>
      </c>
      <c r="CV55" s="13">
        <f t="shared" si="228"/>
        <v>1</v>
      </c>
      <c r="CW55" s="13" t="str">
        <f t="shared" si="228"/>
        <v>Daniil Ivanov</v>
      </c>
      <c r="CX55" s="13" t="str">
        <f t="shared" si="228"/>
        <v/>
      </c>
      <c r="CY55" s="13" t="str">
        <f t="shared" si="228"/>
        <v/>
      </c>
      <c r="CZ55" s="13" t="str">
        <f t="shared" si="228"/>
        <v/>
      </c>
      <c r="DC55" s="13">
        <f t="shared" si="238"/>
        <v>0</v>
      </c>
      <c r="DD55" s="243">
        <f t="shared" si="229"/>
        <v>0</v>
      </c>
      <c r="DE55" s="236">
        <f t="shared" si="239"/>
        <v>0</v>
      </c>
      <c r="DF55" s="232">
        <f t="shared" si="230"/>
        <v>0</v>
      </c>
      <c r="DG55" s="234">
        <f t="shared" si="240"/>
        <v>0</v>
      </c>
      <c r="DH55" s="232">
        <f t="shared" si="231"/>
        <v>0</v>
      </c>
      <c r="DI55" s="41">
        <f t="shared" si="241"/>
        <v>0</v>
      </c>
      <c r="DJ55" s="271">
        <f t="shared" si="232"/>
        <v>0</v>
      </c>
      <c r="DK55" s="273">
        <f t="shared" si="233"/>
        <v>0</v>
      </c>
      <c r="DL55" s="281">
        <f t="shared" si="242"/>
        <v>0</v>
      </c>
      <c r="DM55" s="644">
        <f t="shared" si="243"/>
        <v>5.8999999999999996E-7</v>
      </c>
      <c r="DN55" s="285">
        <f t="shared" si="234"/>
        <v>0</v>
      </c>
      <c r="DO55" s="285">
        <f t="shared" si="235"/>
        <v>0</v>
      </c>
      <c r="DP55" s="285">
        <f t="shared" si="236"/>
        <v>5.8999999999999996E-7</v>
      </c>
      <c r="FE55" s="655">
        <f>IF($FD$37=1,VLOOKUP($FB$37,$AH$32:$AQ$39,10,FALSE),0)</f>
        <v>0</v>
      </c>
      <c r="FG55" s="658">
        <f>IF($AR$40="",0,IF($FF$37=2,VLOOKUP($FB$37,$AH$40:$AR$43,10,FALSE),0))</f>
        <v>0</v>
      </c>
      <c r="FL55" s="716"/>
      <c r="FM55" s="716"/>
      <c r="FN55"/>
      <c r="FO55"/>
      <c r="FP55"/>
      <c r="FQ55"/>
      <c r="FR55"/>
      <c r="FS55"/>
      <c r="FT55"/>
      <c r="FU55"/>
      <c r="FV55"/>
      <c r="FW55"/>
      <c r="FX55"/>
      <c r="FY55"/>
      <c r="FZ55"/>
      <c r="GA55"/>
      <c r="GB55"/>
      <c r="GC55"/>
      <c r="GD55"/>
      <c r="GE55"/>
      <c r="GF55"/>
      <c r="GG55"/>
      <c r="GW55" s="1145"/>
      <c r="GX55" s="231" t="str">
        <f>IF($AC$20="","",IF($JB$23=$GX$3,$JC$23,IF(AND($W$23=$GX$3,$AA$23&lt;&gt;""),$AA$23,IF(AND($W$23=$GX$3,$AA$23=""),$AB$23,""))))</f>
        <v/>
      </c>
      <c r="GY55" s="302">
        <v>37</v>
      </c>
      <c r="GZ55" s="303" t="str">
        <f t="shared" si="105"/>
        <v/>
      </c>
      <c r="HA55" s="98" t="str">
        <f t="shared" si="62"/>
        <v/>
      </c>
      <c r="HB55" s="303"/>
      <c r="HC55" s="98" t="str">
        <f t="shared" si="106"/>
        <v/>
      </c>
      <c r="HG55" s="1145"/>
      <c r="HH55" s="231" t="str">
        <f>IF($AC$20="","",IF($JB$23=$HH$3,$JC$23,IF(AND($W$23=$HH$3,$AA$23&lt;&gt;""),$AA$23,IF(AND($W$23=$HH$3,$AA$23=""),$AB$23,""))))</f>
        <v/>
      </c>
      <c r="HI55" s="302">
        <v>37</v>
      </c>
      <c r="HJ55" s="303" t="str">
        <f t="shared" si="107"/>
        <v/>
      </c>
      <c r="HK55" s="98" t="str">
        <f t="shared" si="63"/>
        <v/>
      </c>
      <c r="HL55" s="303"/>
      <c r="HM55" s="98" t="str">
        <f t="shared" si="64"/>
        <v/>
      </c>
      <c r="JJ55" s="1336"/>
      <c r="JK55" s="877">
        <v>37</v>
      </c>
      <c r="JL55" s="880" t="str">
        <f t="shared" si="108"/>
        <v/>
      </c>
      <c r="JM55" s="873" t="str">
        <f t="shared" si="196"/>
        <v/>
      </c>
      <c r="JN55" s="870" t="str">
        <f>IF($AC$20="","",IF(AND($S$23=JL$11,$U$23&lt;&gt;""),$U$23,IF(AND($S$23=JL$11,$AA$23&lt;&gt;""),$AA$23,IF($S$23=JL$11,$AB$23,""))))</f>
        <v/>
      </c>
      <c r="JO55" s="880" t="str">
        <f t="shared" si="109"/>
        <v/>
      </c>
      <c r="JP55" s="873" t="str">
        <f t="shared" si="197"/>
        <v/>
      </c>
      <c r="JQ55" s="870" t="str">
        <f>IF($AC$20="","",IF(AND($S$23=JO$11,$U$23&lt;&gt;""),$U$23,IF(AND($S$23=JO$11,$AA$23&lt;&gt;""),$AA$23,IF($S$23=JO$11,$AB$23,""))))</f>
        <v/>
      </c>
      <c r="JR55" s="880" t="str">
        <f t="shared" si="198"/>
        <v/>
      </c>
      <c r="JS55" s="873" t="str">
        <f t="shared" si="199"/>
        <v/>
      </c>
      <c r="JT55" s="870" t="str">
        <f>IF($AC$20="","",IF(AND($S$23=JR$11,$U$23&lt;&gt;""),$U$23,IF(AND($S$23=JR$11,$AA$23&lt;&gt;""),$AA$23,IF($S$23=JR$11,$AB$23,""))))</f>
        <v/>
      </c>
      <c r="JU55" s="880" t="str">
        <f t="shared" si="200"/>
        <v/>
      </c>
      <c r="JV55" s="873" t="str">
        <f t="shared" si="201"/>
        <v/>
      </c>
      <c r="JW55" s="870" t="str">
        <f>IF($AC$20="","",IF(AND($S$23=JU$11,$U$23&lt;&gt;""),$U$23,IF(AND($S$23=JU$11,$AA$23&lt;&gt;""),$AA$23,IF($S$23=JU$11,$AB$23,""))))</f>
        <v/>
      </c>
      <c r="JX55" s="880" t="str">
        <f t="shared" si="202"/>
        <v/>
      </c>
      <c r="JY55" s="873" t="str">
        <f t="shared" si="203"/>
        <v/>
      </c>
      <c r="JZ55" s="870" t="str">
        <f>IF($AC$20="","",IF(AND($S$23=JX$11,$U$23&lt;&gt;""),$U$23,IF(AND($S$23=JX$11,$AA$23&lt;&gt;""),$AA$23,IF($S$23=JX$11,$AB$23,""))))</f>
        <v/>
      </c>
      <c r="KA55" s="880" t="str">
        <f t="shared" si="204"/>
        <v/>
      </c>
      <c r="KB55" s="873" t="str">
        <f t="shared" si="205"/>
        <v/>
      </c>
      <c r="KC55" s="870" t="str">
        <f>IF($AC$20="","",IF(AND($S$23=KA$11,$U$23&lt;&gt;""),$U$23,IF(AND($S$23=KA$11,$AA$23&lt;&gt;""),$AA$23,IF($S$23=KA$11,$AB$23,""))))</f>
        <v/>
      </c>
      <c r="KD55" s="880" t="str">
        <f t="shared" si="206"/>
        <v/>
      </c>
      <c r="KE55" s="873" t="str">
        <f t="shared" si="207"/>
        <v/>
      </c>
      <c r="KF55" s="870" t="str">
        <f>IF($AC$20="","",IF(AND($S$23=KD$11,$U$23&lt;&gt;""),$U$23,IF(AND($S$23=KD$11,$AA$23&lt;&gt;""),$AA$23,IF($S$23=KD$11,$AB$23,""))))</f>
        <v/>
      </c>
      <c r="KG55" s="880" t="str">
        <f t="shared" si="208"/>
        <v/>
      </c>
      <c r="KH55" s="873" t="str">
        <f t="shared" si="209"/>
        <v/>
      </c>
      <c r="KI55" s="870" t="str">
        <f>IF($AC$20="","",IF(AND($S$23=KG$11,$U$23&lt;&gt;""),$U$23,IF(AND($S$23=KG$11,$AA$23&lt;&gt;""),$AA$23,IF($S$23=KG$11,$AB$23,""))))</f>
        <v/>
      </c>
      <c r="KJ55" s="880" t="str">
        <f t="shared" si="210"/>
        <v/>
      </c>
      <c r="KK55" s="873" t="str">
        <f t="shared" si="211"/>
        <v/>
      </c>
      <c r="KL55" s="870" t="str">
        <f>IF($AC$20="","",IF(AND($S$23=KJ$11,$U$23&lt;&gt;""),$U$23,IF(AND($S$23=KJ$11,$AA$23&lt;&gt;""),$AA$23,IF($S$23=KJ$11,$AB$23,""))))</f>
        <v/>
      </c>
      <c r="KM55" s="880" t="str">
        <f t="shared" si="212"/>
        <v/>
      </c>
      <c r="KN55" s="873" t="str">
        <f t="shared" si="213"/>
        <v/>
      </c>
      <c r="KO55" s="870" t="str">
        <f>IF($AC$20="","",IF(AND($S$23=KM$11,$U$23&lt;&gt;""),$U$23,IF(AND($S$23=KM$11,$AA$23&lt;&gt;""),$AA$23,IF($S$23=KM$11,$AB$23,""))))</f>
        <v/>
      </c>
      <c r="KP55" s="880" t="str">
        <f t="shared" si="214"/>
        <v/>
      </c>
      <c r="KQ55" s="873" t="str">
        <f t="shared" si="215"/>
        <v/>
      </c>
      <c r="KR55" s="870" t="str">
        <f>IF($AC$20="","",IF(AND($S$23=KP$11,$U$23&lt;&gt;""),$U$23,IF(AND($S$23=KP$11,$AA$23&lt;&gt;""),$AA$23,IF($S$23=KP$11,$AB$23,""))))</f>
        <v/>
      </c>
      <c r="KS55" s="880" t="str">
        <f t="shared" si="216"/>
        <v/>
      </c>
      <c r="KT55" s="873" t="str">
        <f t="shared" si="217"/>
        <v/>
      </c>
      <c r="KU55" s="870" t="str">
        <f>IF($AC$20="","",IF(AND($S$23=KS$11,$U$23&lt;&gt;""),$U$23,IF(AND($S$23=KS$11,$AA$23&lt;&gt;""),$AA$23,IF($S$23=KS$11,$AB$23,""))))</f>
        <v/>
      </c>
      <c r="KV55" s="880" t="str">
        <f t="shared" si="218"/>
        <v/>
      </c>
      <c r="KW55" s="873" t="str">
        <f t="shared" si="219"/>
        <v/>
      </c>
      <c r="KX55" s="870" t="str">
        <f>IF($AC$20="","",IF(AND($S$23=KV$11,$U$23&lt;&gt;""),$U$23,IF(AND($S$23=KV$11,$AA$23&lt;&gt;""),$AA$23,IF($S$23=KV$11,$AB$23,""))))</f>
        <v/>
      </c>
      <c r="KY55" s="880" t="str">
        <f t="shared" si="220"/>
        <v/>
      </c>
      <c r="KZ55" s="873" t="str">
        <f t="shared" si="221"/>
        <v/>
      </c>
      <c r="LA55" s="870" t="str">
        <f>IF($AC$20="","",IF(AND($S$23=KY$11,$U$23&lt;&gt;""),$U$23,IF(AND($S$23=KY$11,$AA$23&lt;&gt;""),$AA$23,IF($S$23=KY$11,$AB$23,""))))</f>
        <v/>
      </c>
      <c r="LB55" s="880" t="str">
        <f t="shared" si="222"/>
        <v/>
      </c>
      <c r="LC55" s="873" t="str">
        <f t="shared" si="223"/>
        <v/>
      </c>
      <c r="LD55" s="870" t="str">
        <f>IF($AC$20="","",IF(AND($S$23=LB$11,$U$23&lt;&gt;""),$U$23,IF(AND($S$23=LB$11,$AA$23&lt;&gt;""),$AA$23,IF($S$23=LB$11,$AB$23,""))))</f>
        <v/>
      </c>
      <c r="LE55" s="880" t="str">
        <f t="shared" si="224"/>
        <v/>
      </c>
      <c r="LF55" s="873" t="str">
        <f t="shared" si="225"/>
        <v/>
      </c>
      <c r="LG55" s="870" t="str">
        <f>IF($AC$20="","",IF(AND($S$23=LE$11,$U$23&lt;&gt;""),$U$23,IF(AND($S$23=LE$11,$AA$23&lt;&gt;""),$AA$23,IF($S$23=LE$11,$AB$23,""))))</f>
        <v/>
      </c>
      <c r="LH55"/>
      <c r="LI55"/>
      <c r="LJ55"/>
      <c r="LK55"/>
      <c r="LL55"/>
      <c r="LM55"/>
    </row>
    <row r="56" spans="4:325">
      <c r="D56" s="8"/>
      <c r="E56" s="8"/>
      <c r="F56" s="8"/>
      <c r="G56" s="8"/>
      <c r="H56" s="8"/>
      <c r="M56" s="8"/>
      <c r="N56" s="8"/>
      <c r="S56" s="8"/>
      <c r="T56" s="8"/>
      <c r="U56" s="8"/>
      <c r="V56" s="8"/>
      <c r="W56" s="8"/>
      <c r="AH56" s="8"/>
      <c r="AI56" s="8"/>
      <c r="AJ56" s="8"/>
      <c r="AK56" s="8"/>
      <c r="BJ56" s="8"/>
      <c r="CG56" s="762">
        <v>10</v>
      </c>
      <c r="CH56" s="770" t="str">
        <f t="shared" si="226"/>
        <v>Franz Zorn</v>
      </c>
      <c r="CI56" s="496">
        <f t="shared" si="227"/>
        <v>0</v>
      </c>
      <c r="CU56" s="13">
        <f t="shared" si="237"/>
        <v>12</v>
      </c>
      <c r="CV56" s="13">
        <f t="shared" si="228"/>
        <v>12</v>
      </c>
      <c r="CW56" s="13" t="str">
        <f t="shared" si="228"/>
        <v>Hans Weber</v>
      </c>
      <c r="CX56" s="13" t="str">
        <f t="shared" si="228"/>
        <v/>
      </c>
      <c r="CY56" s="13" t="str">
        <f t="shared" si="228"/>
        <v/>
      </c>
      <c r="CZ56" s="13" t="str">
        <f t="shared" si="228"/>
        <v/>
      </c>
      <c r="DC56" s="13">
        <f t="shared" si="238"/>
        <v>0</v>
      </c>
      <c r="DD56" s="243">
        <f t="shared" si="229"/>
        <v>0</v>
      </c>
      <c r="DE56" s="236">
        <f t="shared" si="239"/>
        <v>0</v>
      </c>
      <c r="DF56" s="232">
        <f t="shared" si="230"/>
        <v>0</v>
      </c>
      <c r="DG56" s="234">
        <f t="shared" si="240"/>
        <v>0</v>
      </c>
      <c r="DH56" s="232">
        <f t="shared" si="231"/>
        <v>0</v>
      </c>
      <c r="DI56" s="41">
        <f t="shared" si="241"/>
        <v>0</v>
      </c>
      <c r="DJ56" s="271">
        <f t="shared" si="232"/>
        <v>0</v>
      </c>
      <c r="DK56" s="273">
        <f t="shared" si="233"/>
        <v>0</v>
      </c>
      <c r="DL56" s="281">
        <f t="shared" si="242"/>
        <v>0</v>
      </c>
      <c r="DM56" s="643">
        <f t="shared" si="243"/>
        <v>4.7999999999999996E-7</v>
      </c>
      <c r="DN56" s="284">
        <f t="shared" si="234"/>
        <v>0</v>
      </c>
      <c r="DO56" s="284">
        <f t="shared" si="235"/>
        <v>0</v>
      </c>
      <c r="DP56" s="284">
        <f t="shared" si="236"/>
        <v>4.7999999999999996E-7</v>
      </c>
      <c r="FE56" s="655">
        <f>IF($FD$38=1,VLOOKUP($FB$38,$AH$32:$AQ$39,10,FALSE),0)</f>
        <v>0</v>
      </c>
      <c r="FG56" s="658">
        <f>IF($AR$40="",0,IF($FF$38=2,VLOOKUP($FB$38,$AH$40:$AR$43,10,FALSE),0))</f>
        <v>0</v>
      </c>
      <c r="FL56" s="716"/>
      <c r="FM56" s="716"/>
      <c r="FN56"/>
      <c r="FO56"/>
      <c r="FP56"/>
      <c r="FQ56"/>
      <c r="FR56"/>
      <c r="FS56"/>
      <c r="FT56"/>
      <c r="FU56"/>
      <c r="FV56"/>
      <c r="FW56"/>
      <c r="FX56"/>
      <c r="FY56"/>
      <c r="FZ56"/>
      <c r="GA56"/>
      <c r="GB56"/>
      <c r="GC56"/>
      <c r="GD56"/>
      <c r="GE56"/>
      <c r="GF56"/>
      <c r="GG56"/>
      <c r="GW56" s="1143">
        <v>12</v>
      </c>
      <c r="GX56" s="229" t="str">
        <f>IF($AC$24="","",IF($JB$24=$GX$3,$JC$24,IF(AND($W$24=$GX$3,$AA$24&lt;&gt;""),$AA$24,IF(AND($W$24=$GX$3,$AA$24=""),$AB$24,""))))</f>
        <v/>
      </c>
      <c r="GY56" s="299">
        <v>36</v>
      </c>
      <c r="GZ56" s="300" t="str">
        <f t="shared" si="105"/>
        <v/>
      </c>
      <c r="HA56" s="93" t="str">
        <f t="shared" si="62"/>
        <v/>
      </c>
      <c r="HB56" s="300"/>
      <c r="HC56" s="93" t="str">
        <f t="shared" si="106"/>
        <v/>
      </c>
      <c r="HG56" s="1143">
        <v>12</v>
      </c>
      <c r="HH56" s="229" t="str">
        <f>IF($AC$24="","",IF($JB$24=$HH$3,$JC$24,IF(AND($W$24=$HH$3,$AA$24&lt;&gt;""),$AA$24,IF(AND($W$24=$HH$3,$AA$24=""),$AB$24,""))))</f>
        <v/>
      </c>
      <c r="HI56" s="299">
        <v>36</v>
      </c>
      <c r="HJ56" s="300" t="str">
        <f t="shared" si="107"/>
        <v/>
      </c>
      <c r="HK56" s="93" t="str">
        <f t="shared" si="63"/>
        <v/>
      </c>
      <c r="HL56" s="300"/>
      <c r="HM56" s="93" t="str">
        <f t="shared" si="64"/>
        <v/>
      </c>
      <c r="JJ56" s="1334">
        <v>12</v>
      </c>
      <c r="JK56" s="875">
        <v>36</v>
      </c>
      <c r="JL56" s="878" t="str">
        <f t="shared" si="108"/>
        <v/>
      </c>
      <c r="JM56" s="871" t="str">
        <f t="shared" si="196"/>
        <v/>
      </c>
      <c r="JN56" s="868" t="str">
        <f>IF($AC$24="","",IF(AND($S$24=JL$11,$U$24&lt;&gt;""),$U$24,IF(AND($S$24=JL$11,$AA$24&lt;&gt;""),$AA$24,IF($S$24=JL$11,$AB$24,""))))</f>
        <v/>
      </c>
      <c r="JO56" s="878" t="str">
        <f t="shared" si="109"/>
        <v/>
      </c>
      <c r="JP56" s="871" t="str">
        <f t="shared" si="197"/>
        <v/>
      </c>
      <c r="JQ56" s="868" t="str">
        <f>IF($AC$24="","",IF(AND($S$24=JO$11,$U$24&lt;&gt;""),$U$24,IF(AND($S$24=JO$11,$AA$24&lt;&gt;""),$AA$24,IF($S$24=JO$11,$AB$24,""))))</f>
        <v/>
      </c>
      <c r="JR56" s="878" t="str">
        <f t="shared" si="198"/>
        <v/>
      </c>
      <c r="JS56" s="871" t="str">
        <f t="shared" si="199"/>
        <v/>
      </c>
      <c r="JT56" s="868" t="str">
        <f>IF($AC$24="","",IF(AND($S$24=JR$11,$U$24&lt;&gt;""),$U$24,IF(AND($S$24=JR$11,$AA$24&lt;&gt;""),$AA$24,IF($S$24=JR$11,$AB$24,""))))</f>
        <v/>
      </c>
      <c r="JU56" s="878" t="str">
        <f t="shared" si="200"/>
        <v/>
      </c>
      <c r="JV56" s="871" t="str">
        <f t="shared" si="201"/>
        <v/>
      </c>
      <c r="JW56" s="868" t="str">
        <f>IF($AC$24="","",IF(AND($S$24=JU$11,$U$24&lt;&gt;""),$U$24,IF(AND($S$24=JU$11,$AA$24&lt;&gt;""),$AA$24,IF($S$24=JU$11,$AB$24,""))))</f>
        <v/>
      </c>
      <c r="JX56" s="878" t="str">
        <f t="shared" si="202"/>
        <v/>
      </c>
      <c r="JY56" s="871" t="str">
        <f t="shared" si="203"/>
        <v/>
      </c>
      <c r="JZ56" s="868" t="str">
        <f>IF($AC$24="","",IF(AND($S$24=JX$11,$U$24&lt;&gt;""),$U$24,IF(AND($S$24=JX$11,$AA$24&lt;&gt;""),$AA$24,IF($S$24=JX$11,$AB$24,""))))</f>
        <v/>
      </c>
      <c r="KA56" s="878" t="str">
        <f t="shared" si="204"/>
        <v/>
      </c>
      <c r="KB56" s="871" t="str">
        <f t="shared" si="205"/>
        <v/>
      </c>
      <c r="KC56" s="868" t="str">
        <f>IF($AC$24="","",IF(AND($S$24=KA$11,$U$24&lt;&gt;""),$U$24,IF(AND($S$24=KA$11,$AA$24&lt;&gt;""),$AA$24,IF($S$24=KA$11,$AB$24,""))))</f>
        <v/>
      </c>
      <c r="KD56" s="878" t="str">
        <f t="shared" si="206"/>
        <v/>
      </c>
      <c r="KE56" s="871" t="str">
        <f t="shared" si="207"/>
        <v/>
      </c>
      <c r="KF56" s="868" t="str">
        <f>IF($AC$24="","",IF(AND($S$24=KD$11,$U$24&lt;&gt;""),$U$24,IF(AND($S$24=KD$11,$AA$24&lt;&gt;""),$AA$24,IF($S$24=KD$11,$AB$24,""))))</f>
        <v/>
      </c>
      <c r="KG56" s="878" t="str">
        <f t="shared" si="208"/>
        <v/>
      </c>
      <c r="KH56" s="871" t="str">
        <f t="shared" si="209"/>
        <v/>
      </c>
      <c r="KI56" s="868" t="str">
        <f>IF($AC$24="","",IF(AND($S$24=KG$11,$U$24&lt;&gt;""),$U$24,IF(AND($S$24=KG$11,$AA$24&lt;&gt;""),$AA$24,IF($S$24=KG$11,$AB$24,""))))</f>
        <v/>
      </c>
      <c r="KJ56" s="878" t="str">
        <f t="shared" si="210"/>
        <v/>
      </c>
      <c r="KK56" s="871" t="str">
        <f t="shared" si="211"/>
        <v/>
      </c>
      <c r="KL56" s="868" t="str">
        <f>IF($AC$24="","",IF(AND($S$24=KJ$11,$U$24&lt;&gt;""),$U$24,IF(AND($S$24=KJ$11,$AA$24&lt;&gt;""),$AA$24,IF($S$24=KJ$11,$AB$24,""))))</f>
        <v/>
      </c>
      <c r="KM56" s="878" t="str">
        <f t="shared" si="212"/>
        <v/>
      </c>
      <c r="KN56" s="871" t="str">
        <f t="shared" si="213"/>
        <v/>
      </c>
      <c r="KO56" s="868" t="str">
        <f>IF($AC$24="","",IF(AND($S$24=KM$11,$U$24&lt;&gt;""),$U$24,IF(AND($S$24=KM$11,$AA$24&lt;&gt;""),$AA$24,IF($S$24=KM$11,$AB$24,""))))</f>
        <v/>
      </c>
      <c r="KP56" s="878" t="str">
        <f t="shared" si="214"/>
        <v/>
      </c>
      <c r="KQ56" s="871" t="str">
        <f t="shared" si="215"/>
        <v/>
      </c>
      <c r="KR56" s="868" t="str">
        <f>IF($AC$24="","",IF(AND($S$24=KP$11,$U$24&lt;&gt;""),$U$24,IF(AND($S$24=KP$11,$AA$24&lt;&gt;""),$AA$24,IF($S$24=KP$11,$AB$24,""))))</f>
        <v/>
      </c>
      <c r="KS56" s="878" t="str">
        <f t="shared" si="216"/>
        <v/>
      </c>
      <c r="KT56" s="871" t="str">
        <f t="shared" si="217"/>
        <v/>
      </c>
      <c r="KU56" s="868" t="str">
        <f>IF($AC$24="","",IF(AND($S$24=KS$11,$U$24&lt;&gt;""),$U$24,IF(AND($S$24=KS$11,$AA$24&lt;&gt;""),$AA$24,IF($S$24=KS$11,$AB$24,""))))</f>
        <v/>
      </c>
      <c r="KV56" s="878" t="str">
        <f t="shared" si="218"/>
        <v/>
      </c>
      <c r="KW56" s="871" t="str">
        <f t="shared" si="219"/>
        <v/>
      </c>
      <c r="KX56" s="868" t="str">
        <f>IF($AC$24="","",IF(AND($S$24=KV$11,$U$24&lt;&gt;""),$U$24,IF(AND($S$24=KV$11,$AA$24&lt;&gt;""),$AA$24,IF($S$24=KV$11,$AB$24,""))))</f>
        <v/>
      </c>
      <c r="KY56" s="878" t="str">
        <f t="shared" si="220"/>
        <v/>
      </c>
      <c r="KZ56" s="871" t="str">
        <f t="shared" si="221"/>
        <v/>
      </c>
      <c r="LA56" s="868" t="str">
        <f>IF($AC$24="","",IF(AND($S$24=KY$11,$U$24&lt;&gt;""),$U$24,IF(AND($S$24=KY$11,$AA$24&lt;&gt;""),$AA$24,IF($S$24=KY$11,$AB$24,""))))</f>
        <v/>
      </c>
      <c r="LB56" s="878" t="str">
        <f t="shared" si="222"/>
        <v/>
      </c>
      <c r="LC56" s="871" t="str">
        <f t="shared" si="223"/>
        <v/>
      </c>
      <c r="LD56" s="868" t="str">
        <f>IF($AC$24="","",IF(AND($S$24=LB$11,$U$24&lt;&gt;""),$U$24,IF(AND($S$24=LB$11,$AA$24&lt;&gt;""),$AA$24,IF($S$24=LB$11,$AB$24,""))))</f>
        <v/>
      </c>
      <c r="LE56" s="878" t="str">
        <f t="shared" si="224"/>
        <v/>
      </c>
      <c r="LF56" s="871" t="str">
        <f t="shared" si="225"/>
        <v/>
      </c>
      <c r="LG56" s="868" t="str">
        <f>IF($AC$24="","",IF(AND($S$24=LE$11,$U$24&lt;&gt;""),$U$24,IF(AND($S$24=LE$11,$AA$24&lt;&gt;""),$AA$24,IF($S$24=LE$11,$AB$24,""))))</f>
        <v/>
      </c>
      <c r="LH56"/>
      <c r="LI56"/>
      <c r="LJ56"/>
      <c r="LK56"/>
      <c r="LL56"/>
      <c r="LM56"/>
    </row>
    <row r="57" spans="4:325">
      <c r="D57" s="8"/>
      <c r="E57" s="8"/>
      <c r="F57" s="8"/>
      <c r="G57" s="8"/>
      <c r="H57" s="8"/>
      <c r="M57" s="8"/>
      <c r="N57" s="8"/>
      <c r="S57" s="8"/>
      <c r="T57" s="8"/>
      <c r="U57" s="8"/>
      <c r="V57" s="8"/>
      <c r="W57" s="8"/>
      <c r="AH57" s="8"/>
      <c r="AI57" s="8"/>
      <c r="AJ57" s="8"/>
      <c r="AK57" s="8"/>
      <c r="BJ57" s="8"/>
      <c r="CG57" s="762">
        <v>11</v>
      </c>
      <c r="CH57" s="770" t="str">
        <f t="shared" si="226"/>
        <v>Vitaly Khomitsevich</v>
      </c>
      <c r="CI57" s="496">
        <f t="shared" si="227"/>
        <v>0</v>
      </c>
      <c r="CU57" s="13">
        <f t="shared" si="237"/>
        <v>14</v>
      </c>
      <c r="CV57" s="13">
        <f t="shared" si="228"/>
        <v>15</v>
      </c>
      <c r="CW57" s="13" t="str">
        <f t="shared" si="228"/>
        <v>Harald Simon</v>
      </c>
      <c r="CX57" s="13" t="str">
        <f t="shared" si="228"/>
        <v/>
      </c>
      <c r="CY57" s="13" t="str">
        <f t="shared" si="228"/>
        <v/>
      </c>
      <c r="CZ57" s="13" t="str">
        <f t="shared" si="228"/>
        <v/>
      </c>
      <c r="DC57" s="13">
        <f t="shared" si="238"/>
        <v>0</v>
      </c>
      <c r="DD57" s="243">
        <f t="shared" si="229"/>
        <v>0</v>
      </c>
      <c r="DE57" s="236">
        <f t="shared" si="239"/>
        <v>0</v>
      </c>
      <c r="DF57" s="232">
        <f t="shared" si="230"/>
        <v>0</v>
      </c>
      <c r="DG57" s="234">
        <f t="shared" si="240"/>
        <v>0</v>
      </c>
      <c r="DH57" s="232">
        <f t="shared" si="231"/>
        <v>0</v>
      </c>
      <c r="DI57" s="41">
        <f t="shared" si="241"/>
        <v>0</v>
      </c>
      <c r="DJ57" s="271">
        <f t="shared" si="232"/>
        <v>0</v>
      </c>
      <c r="DK57" s="273">
        <f t="shared" si="233"/>
        <v>0</v>
      </c>
      <c r="DL57" s="281">
        <f t="shared" si="242"/>
        <v>0</v>
      </c>
      <c r="DM57" s="644">
        <f t="shared" si="243"/>
        <v>4.4999999999999998E-7</v>
      </c>
      <c r="DN57" s="285">
        <f t="shared" si="234"/>
        <v>0</v>
      </c>
      <c r="DO57" s="285">
        <f t="shared" si="235"/>
        <v>0</v>
      </c>
      <c r="DP57" s="285">
        <f t="shared" si="236"/>
        <v>4.4999999999999998E-7</v>
      </c>
      <c r="FE57" s="655">
        <f>IF($FD$39=1,VLOOKUP($FB$39,$AH$32:$AQ$39,10,FALSE),0)</f>
        <v>0</v>
      </c>
      <c r="FG57" s="658">
        <f>IF($AR$40="",0,IF($FF$39=2,VLOOKUP($FB$39,$AH$40:$AR$43,10,FALSE),0))</f>
        <v>0</v>
      </c>
      <c r="FL57" s="716"/>
      <c r="FM57" s="716"/>
      <c r="FN57"/>
      <c r="FO57"/>
      <c r="FP57"/>
      <c r="FQ57"/>
      <c r="FR57"/>
      <c r="FS57"/>
      <c r="FT57"/>
      <c r="FU57"/>
      <c r="FV57"/>
      <c r="FW57"/>
      <c r="FX57"/>
      <c r="FY57"/>
      <c r="FZ57"/>
      <c r="GA57"/>
      <c r="GB57"/>
      <c r="GC57"/>
      <c r="GD57"/>
      <c r="GE57"/>
      <c r="GF57"/>
      <c r="GG57"/>
      <c r="GW57" s="1144"/>
      <c r="GX57" s="230" t="str">
        <f>IF($AC$24="","",IF($JB$25=$GX$3,$JC$25,IF(AND($W$25=$GX$3,$AA$25&lt;&gt;""),$AA$25,IF(AND($W$25=$GX$3,$AA$25=""),$AB$25,""))))</f>
        <v/>
      </c>
      <c r="GY57" s="301">
        <v>35</v>
      </c>
      <c r="GZ57" s="5" t="str">
        <f t="shared" si="105"/>
        <v/>
      </c>
      <c r="HA57" s="95" t="str">
        <f t="shared" si="62"/>
        <v/>
      </c>
      <c r="HB57" s="5"/>
      <c r="HC57" s="95" t="str">
        <f t="shared" si="106"/>
        <v/>
      </c>
      <c r="HG57" s="1144"/>
      <c r="HH57" s="230" t="str">
        <f>IF($AC$24="","",IF($JB$25=$HH$3,$JC$25,IF(AND($W$25=$HH$3,$AA$25&lt;&gt;""),$AA$25,IF(AND($W$25=$HH$3,$AA$25=""),$AB$25,""))))</f>
        <v/>
      </c>
      <c r="HI57" s="301">
        <v>35</v>
      </c>
      <c r="HJ57" s="5" t="str">
        <f t="shared" si="107"/>
        <v/>
      </c>
      <c r="HK57" s="95" t="str">
        <f t="shared" si="63"/>
        <v/>
      </c>
      <c r="HL57" s="5"/>
      <c r="HM57" s="95" t="str">
        <f t="shared" si="64"/>
        <v/>
      </c>
      <c r="JJ57" s="1335"/>
      <c r="JK57" s="876">
        <v>35</v>
      </c>
      <c r="JL57" s="879" t="str">
        <f t="shared" si="108"/>
        <v/>
      </c>
      <c r="JM57" s="662" t="str">
        <f t="shared" si="196"/>
        <v/>
      </c>
      <c r="JN57" s="869" t="str">
        <f>IF($AC$24="","",IF(AND($S$25=JL$11,$U$25&lt;&gt;""),$U$25,IF(AND($S$25=JL$11,$AA$25&lt;&gt;""),$AA$25,IF($S$25=JL$11,$AB$25,""))))</f>
        <v/>
      </c>
      <c r="JO57" s="879" t="str">
        <f t="shared" si="109"/>
        <v/>
      </c>
      <c r="JP57" s="662" t="str">
        <f t="shared" si="197"/>
        <v/>
      </c>
      <c r="JQ57" s="869" t="str">
        <f>IF($AC$24="","",IF(AND($S$25=JO$11,$U$25&lt;&gt;""),$U$25,IF(AND($S$25=JO$11,$AA$25&lt;&gt;""),$AA$25,IF($S$25=JO$11,$AB$25,""))))</f>
        <v/>
      </c>
      <c r="JR57" s="879" t="str">
        <f t="shared" si="198"/>
        <v/>
      </c>
      <c r="JS57" s="662" t="str">
        <f t="shared" si="199"/>
        <v/>
      </c>
      <c r="JT57" s="869" t="str">
        <f>IF($AC$24="","",IF(AND($S$25=JR$11,$U$25&lt;&gt;""),$U$25,IF(AND($S$25=JR$11,$AA$25&lt;&gt;""),$AA$25,IF($S$25=JR$11,$AB$25,""))))</f>
        <v/>
      </c>
      <c r="JU57" s="879" t="str">
        <f t="shared" si="200"/>
        <v/>
      </c>
      <c r="JV57" s="662" t="str">
        <f t="shared" si="201"/>
        <v/>
      </c>
      <c r="JW57" s="869" t="str">
        <f>IF($AC$24="","",IF(AND($S$25=JU$11,$U$25&lt;&gt;""),$U$25,IF(AND($S$25=JU$11,$AA$25&lt;&gt;""),$AA$25,IF($S$25=JU$11,$AB$25,""))))</f>
        <v/>
      </c>
      <c r="JX57" s="879" t="str">
        <f t="shared" si="202"/>
        <v/>
      </c>
      <c r="JY57" s="662" t="str">
        <f t="shared" si="203"/>
        <v/>
      </c>
      <c r="JZ57" s="869" t="str">
        <f>IF($AC$24="","",IF(AND($S$25=JX$11,$U$25&lt;&gt;""),$U$25,IF(AND($S$25=JX$11,$AA$25&lt;&gt;""),$AA$25,IF($S$25=JX$11,$AB$25,""))))</f>
        <v/>
      </c>
      <c r="KA57" s="879" t="str">
        <f t="shared" si="204"/>
        <v/>
      </c>
      <c r="KB57" s="662" t="str">
        <f t="shared" si="205"/>
        <v/>
      </c>
      <c r="KC57" s="869" t="str">
        <f>IF($AC$24="","",IF(AND($S$25=KA$11,$U$25&lt;&gt;""),$U$25,IF(AND($S$25=KA$11,$AA$25&lt;&gt;""),$AA$25,IF($S$25=KA$11,$AB$25,""))))</f>
        <v/>
      </c>
      <c r="KD57" s="879" t="str">
        <f t="shared" si="206"/>
        <v/>
      </c>
      <c r="KE57" s="662" t="str">
        <f t="shared" si="207"/>
        <v/>
      </c>
      <c r="KF57" s="869" t="str">
        <f>IF($AC$24="","",IF(AND($S$25=KD$11,$U$25&lt;&gt;""),$U$25,IF(AND($S$25=KD$11,$AA$25&lt;&gt;""),$AA$25,IF($S$25=KD$11,$AB$25,""))))</f>
        <v/>
      </c>
      <c r="KG57" s="879" t="str">
        <f t="shared" si="208"/>
        <v/>
      </c>
      <c r="KH57" s="662" t="str">
        <f t="shared" si="209"/>
        <v/>
      </c>
      <c r="KI57" s="869" t="str">
        <f>IF($AC$24="","",IF(AND($S$25=KG$11,$U$25&lt;&gt;""),$U$25,IF(AND($S$25=KG$11,$AA$25&lt;&gt;""),$AA$25,IF($S$25=KG$11,$AB$25,""))))</f>
        <v/>
      </c>
      <c r="KJ57" s="879" t="str">
        <f t="shared" si="210"/>
        <v/>
      </c>
      <c r="KK57" s="662" t="str">
        <f t="shared" si="211"/>
        <v/>
      </c>
      <c r="KL57" s="869" t="str">
        <f>IF($AC$24="","",IF(AND($S$25=KJ$11,$U$25&lt;&gt;""),$U$25,IF(AND($S$25=KJ$11,$AA$25&lt;&gt;""),$AA$25,IF($S$25=KJ$11,$AB$25,""))))</f>
        <v/>
      </c>
      <c r="KM57" s="879" t="str">
        <f t="shared" si="212"/>
        <v/>
      </c>
      <c r="KN57" s="662" t="str">
        <f t="shared" si="213"/>
        <v/>
      </c>
      <c r="KO57" s="869" t="str">
        <f>IF($AC$24="","",IF(AND($S$25=KM$11,$U$25&lt;&gt;""),$U$25,IF(AND($S$25=KM$11,$AA$25&lt;&gt;""),$AA$25,IF($S$25=KM$11,$AB$25,""))))</f>
        <v/>
      </c>
      <c r="KP57" s="879" t="str">
        <f t="shared" si="214"/>
        <v/>
      </c>
      <c r="KQ57" s="662" t="str">
        <f t="shared" si="215"/>
        <v/>
      </c>
      <c r="KR57" s="869" t="str">
        <f>IF($AC$24="","",IF(AND($S$25=KP$11,$U$25&lt;&gt;""),$U$25,IF(AND($S$25=KP$11,$AA$25&lt;&gt;""),$AA$25,IF($S$25=KP$11,$AB$25,""))))</f>
        <v/>
      </c>
      <c r="KS57" s="879" t="str">
        <f t="shared" si="216"/>
        <v/>
      </c>
      <c r="KT57" s="662" t="str">
        <f t="shared" si="217"/>
        <v/>
      </c>
      <c r="KU57" s="869" t="str">
        <f>IF($AC$24="","",IF(AND($S$25=KS$11,$U$25&lt;&gt;""),$U$25,IF(AND($S$25=KS$11,$AA$25&lt;&gt;""),$AA$25,IF($S$25=KS$11,$AB$25,""))))</f>
        <v/>
      </c>
      <c r="KV57" s="879" t="str">
        <f t="shared" si="218"/>
        <v/>
      </c>
      <c r="KW57" s="662" t="str">
        <f t="shared" si="219"/>
        <v/>
      </c>
      <c r="KX57" s="869" t="str">
        <f>IF($AC$24="","",IF(AND($S$25=KV$11,$U$25&lt;&gt;""),$U$25,IF(AND($S$25=KV$11,$AA$25&lt;&gt;""),$AA$25,IF($S$25=KV$11,$AB$25,""))))</f>
        <v/>
      </c>
      <c r="KY57" s="879" t="str">
        <f t="shared" si="220"/>
        <v/>
      </c>
      <c r="KZ57" s="662" t="str">
        <f t="shared" si="221"/>
        <v/>
      </c>
      <c r="LA57" s="869" t="str">
        <f>IF($AC$24="","",IF(AND($S$25=KY$11,$U$25&lt;&gt;""),$U$25,IF(AND($S$25=KY$11,$AA$25&lt;&gt;""),$AA$25,IF($S$25=KY$11,$AB$25,""))))</f>
        <v/>
      </c>
      <c r="LB57" s="879" t="str">
        <f t="shared" si="222"/>
        <v/>
      </c>
      <c r="LC57" s="662" t="str">
        <f t="shared" si="223"/>
        <v/>
      </c>
      <c r="LD57" s="869" t="str">
        <f>IF($AC$24="","",IF(AND($S$25=LB$11,$U$25&lt;&gt;""),$U$25,IF(AND($S$25=LB$11,$AA$25&lt;&gt;""),$AA$25,IF($S$25=LB$11,$AB$25,""))))</f>
        <v/>
      </c>
      <c r="LE57" s="879" t="str">
        <f t="shared" si="224"/>
        <v/>
      </c>
      <c r="LF57" s="662" t="str">
        <f t="shared" si="225"/>
        <v/>
      </c>
      <c r="LG57" s="869" t="str">
        <f>IF($AC$24="","",IF(AND($S$25=LE$11,$U$25&lt;&gt;""),$U$25,IF(AND($S$25=LE$11,$AA$25&lt;&gt;""),$AA$25,IF($S$25=LE$11,$AB$25,""))))</f>
        <v/>
      </c>
      <c r="LH57"/>
      <c r="LI57"/>
      <c r="LJ57"/>
      <c r="LK57"/>
      <c r="LL57"/>
      <c r="LM57"/>
    </row>
    <row r="58" spans="4:325">
      <c r="D58" s="8"/>
      <c r="E58" s="8"/>
      <c r="F58" s="8"/>
      <c r="G58" s="8"/>
      <c r="H58" s="8"/>
      <c r="M58" s="8"/>
      <c r="N58" s="8"/>
      <c r="S58" s="8"/>
      <c r="T58" s="8"/>
      <c r="U58" s="8"/>
      <c r="V58" s="8"/>
      <c r="W58" s="8"/>
      <c r="AH58" s="8"/>
      <c r="AI58" s="8"/>
      <c r="AJ58" s="8"/>
      <c r="AK58" s="8"/>
      <c r="BJ58" s="8"/>
      <c r="CG58" s="762">
        <v>12</v>
      </c>
      <c r="CH58" s="770" t="str">
        <f t="shared" si="226"/>
        <v>Hans Weber</v>
      </c>
      <c r="CI58" s="496">
        <f t="shared" si="227"/>
        <v>0</v>
      </c>
      <c r="CU58" s="13">
        <f t="shared" si="237"/>
        <v>11</v>
      </c>
      <c r="CV58" s="13">
        <f t="shared" si="228"/>
        <v>11</v>
      </c>
      <c r="CW58" s="13" t="str">
        <f t="shared" si="228"/>
        <v>Vitaly Khomitsevich</v>
      </c>
      <c r="CX58" s="13" t="str">
        <f t="shared" si="228"/>
        <v/>
      </c>
      <c r="CY58" s="13" t="str">
        <f t="shared" si="228"/>
        <v/>
      </c>
      <c r="CZ58" s="13" t="str">
        <f t="shared" si="228"/>
        <v/>
      </c>
      <c r="DC58" s="13">
        <f t="shared" si="238"/>
        <v>0</v>
      </c>
      <c r="DD58" s="243">
        <f t="shared" si="229"/>
        <v>0</v>
      </c>
      <c r="DE58" s="236">
        <f t="shared" si="239"/>
        <v>0</v>
      </c>
      <c r="DF58" s="232">
        <f t="shared" si="230"/>
        <v>0</v>
      </c>
      <c r="DG58" s="234">
        <f t="shared" si="240"/>
        <v>0</v>
      </c>
      <c r="DH58" s="232">
        <f t="shared" si="231"/>
        <v>0</v>
      </c>
      <c r="DI58" s="41">
        <f t="shared" si="241"/>
        <v>0</v>
      </c>
      <c r="DJ58" s="271">
        <f t="shared" si="232"/>
        <v>0</v>
      </c>
      <c r="DK58" s="273">
        <f t="shared" si="233"/>
        <v>0</v>
      </c>
      <c r="DL58" s="281">
        <f t="shared" si="242"/>
        <v>0</v>
      </c>
      <c r="DM58" s="643">
        <f t="shared" si="243"/>
        <v>4.8999999999999997E-7</v>
      </c>
      <c r="DN58" s="284">
        <f t="shared" si="234"/>
        <v>0</v>
      </c>
      <c r="DO58" s="284">
        <f t="shared" si="235"/>
        <v>0</v>
      </c>
      <c r="DP58" s="284">
        <f t="shared" si="236"/>
        <v>4.8999999999999997E-7</v>
      </c>
      <c r="FE58" s="655">
        <f>IF($FD$40=1,VLOOKUP($FB$40,$AH$32:$AQ$39,10,FALSE),0)</f>
        <v>0</v>
      </c>
      <c r="FG58" s="658">
        <f>IF($AR$40="",0,IF($FF$40=2,VLOOKUP($FB$40,$AH$40:$AR$43,10,FALSE),0))</f>
        <v>0</v>
      </c>
      <c r="FL58" s="716"/>
      <c r="FM58" s="716"/>
      <c r="FN58"/>
      <c r="FO58"/>
      <c r="FP58"/>
      <c r="FQ58"/>
      <c r="FR58"/>
      <c r="FS58"/>
      <c r="FT58"/>
      <c r="FU58"/>
      <c r="FV58"/>
      <c r="FW58"/>
      <c r="FX58"/>
      <c r="FY58"/>
      <c r="FZ58"/>
      <c r="GA58"/>
      <c r="GB58"/>
      <c r="GC58"/>
      <c r="GD58"/>
      <c r="GE58"/>
      <c r="GF58"/>
      <c r="GG58"/>
      <c r="GW58" s="1144"/>
      <c r="GX58" s="230" t="str">
        <f>IF($AC$24="","",IF($JB$26=$GX$3,$JC$26,IF(AND($W$26=$GX$3,$AA$26&lt;&gt;""),$AA$26,IF(AND($W$26=$GX$3,$AA$26=""),$AB$26,""))))</f>
        <v/>
      </c>
      <c r="GY58" s="301">
        <v>34</v>
      </c>
      <c r="GZ58" s="5" t="str">
        <f t="shared" si="105"/>
        <v/>
      </c>
      <c r="HA58" s="95" t="str">
        <f t="shared" si="62"/>
        <v/>
      </c>
      <c r="HB58" s="5"/>
      <c r="HC58" s="95" t="str">
        <f t="shared" si="106"/>
        <v/>
      </c>
      <c r="HG58" s="1144"/>
      <c r="HH58" s="230" t="str">
        <f>IF($AC$24="","",IF($JB$26=$HH$3,$JC$26,IF(AND($W$26=$HH$3,$AA$26&lt;&gt;""),$AA$26,IF(AND($W$26=$HH$3,$AA$26=""),$AB$26,""))))</f>
        <v/>
      </c>
      <c r="HI58" s="301">
        <v>34</v>
      </c>
      <c r="HJ58" s="5" t="str">
        <f t="shared" si="107"/>
        <v/>
      </c>
      <c r="HK58" s="95" t="str">
        <f t="shared" si="63"/>
        <v/>
      </c>
      <c r="HL58" s="5"/>
      <c r="HM58" s="95" t="str">
        <f t="shared" si="64"/>
        <v/>
      </c>
      <c r="JJ58" s="1335"/>
      <c r="JK58" s="876">
        <v>34</v>
      </c>
      <c r="JL58" s="879" t="str">
        <f t="shared" si="108"/>
        <v/>
      </c>
      <c r="JM58" s="662" t="str">
        <f t="shared" si="196"/>
        <v/>
      </c>
      <c r="JN58" s="869" t="str">
        <f>IF($AC$24="","",IF(AND($S$26=JL$11,$U$26&lt;&gt;""),$U$26,IF(AND($S$26=JL$11,$AA$26&lt;&gt;""),$AA$26,IF($S$26=JL$11,$AB$26,""))))</f>
        <v/>
      </c>
      <c r="JO58" s="879" t="str">
        <f t="shared" si="109"/>
        <v/>
      </c>
      <c r="JP58" s="662" t="str">
        <f t="shared" si="197"/>
        <v/>
      </c>
      <c r="JQ58" s="869" t="str">
        <f>IF($AC$24="","",IF(AND($S$26=JO$11,$U$26&lt;&gt;""),$U$26,IF(AND($S$26=JO$11,$AA$26&lt;&gt;""),$AA$26,IF($S$26=JO$11,$AB$26,""))))</f>
        <v/>
      </c>
      <c r="JR58" s="879" t="str">
        <f t="shared" si="198"/>
        <v/>
      </c>
      <c r="JS58" s="662" t="str">
        <f t="shared" si="199"/>
        <v/>
      </c>
      <c r="JT58" s="869" t="str">
        <f>IF($AC$24="","",IF(AND($S$26=JR$11,$U$26&lt;&gt;""),$U$26,IF(AND($S$26=JR$11,$AA$26&lt;&gt;""),$AA$26,IF($S$26=JR$11,$AB$26,""))))</f>
        <v/>
      </c>
      <c r="JU58" s="879" t="str">
        <f t="shared" si="200"/>
        <v/>
      </c>
      <c r="JV58" s="662" t="str">
        <f t="shared" si="201"/>
        <v/>
      </c>
      <c r="JW58" s="869" t="str">
        <f>IF($AC$24="","",IF(AND($S$26=JU$11,$U$26&lt;&gt;""),$U$26,IF(AND($S$26=JU$11,$AA$26&lt;&gt;""),$AA$26,IF($S$26=JU$11,$AB$26,""))))</f>
        <v/>
      </c>
      <c r="JX58" s="879" t="str">
        <f t="shared" si="202"/>
        <v/>
      </c>
      <c r="JY58" s="662" t="str">
        <f t="shared" si="203"/>
        <v/>
      </c>
      <c r="JZ58" s="869" t="str">
        <f>IF($AC$24="","",IF(AND($S$26=JX$11,$U$26&lt;&gt;""),$U$26,IF(AND($S$26=JX$11,$AA$26&lt;&gt;""),$AA$26,IF($S$26=JX$11,$AB$26,""))))</f>
        <v/>
      </c>
      <c r="KA58" s="879" t="str">
        <f t="shared" si="204"/>
        <v/>
      </c>
      <c r="KB58" s="662" t="str">
        <f t="shared" si="205"/>
        <v/>
      </c>
      <c r="KC58" s="869" t="str">
        <f>IF($AC$24="","",IF(AND($S$26=KA$11,$U$26&lt;&gt;""),$U$26,IF(AND($S$26=KA$11,$AA$26&lt;&gt;""),$AA$26,IF($S$26=KA$11,$AB$26,""))))</f>
        <v/>
      </c>
      <c r="KD58" s="879" t="str">
        <f t="shared" si="206"/>
        <v/>
      </c>
      <c r="KE58" s="662" t="str">
        <f t="shared" si="207"/>
        <v/>
      </c>
      <c r="KF58" s="869" t="str">
        <f>IF($AC$24="","",IF(AND($S$26=KD$11,$U$26&lt;&gt;""),$U$26,IF(AND($S$26=KD$11,$AA$26&lt;&gt;""),$AA$26,IF($S$26=KD$11,$AB$26,""))))</f>
        <v/>
      </c>
      <c r="KG58" s="879" t="str">
        <f t="shared" si="208"/>
        <v/>
      </c>
      <c r="KH58" s="662" t="str">
        <f t="shared" si="209"/>
        <v/>
      </c>
      <c r="KI58" s="869" t="str">
        <f>IF($AC$24="","",IF(AND($S$26=KG$11,$U$26&lt;&gt;""),$U$26,IF(AND($S$26=KG$11,$AA$26&lt;&gt;""),$AA$26,IF($S$26=KG$11,$AB$26,""))))</f>
        <v/>
      </c>
      <c r="KJ58" s="879" t="str">
        <f t="shared" si="210"/>
        <v/>
      </c>
      <c r="KK58" s="662" t="str">
        <f t="shared" si="211"/>
        <v/>
      </c>
      <c r="KL58" s="869" t="str">
        <f>IF($AC$24="","",IF(AND($S$26=KJ$11,$U$26&lt;&gt;""),$U$26,IF(AND($S$26=KJ$11,$AA$26&lt;&gt;""),$AA$26,IF($S$26=KJ$11,$AB$26,""))))</f>
        <v/>
      </c>
      <c r="KM58" s="879" t="str">
        <f t="shared" si="212"/>
        <v/>
      </c>
      <c r="KN58" s="662" t="str">
        <f t="shared" si="213"/>
        <v/>
      </c>
      <c r="KO58" s="869" t="str">
        <f>IF($AC$24="","",IF(AND($S$26=KM$11,$U$26&lt;&gt;""),$U$26,IF(AND($S$26=KM$11,$AA$26&lt;&gt;""),$AA$26,IF($S$26=KM$11,$AB$26,""))))</f>
        <v/>
      </c>
      <c r="KP58" s="879" t="str">
        <f t="shared" si="214"/>
        <v/>
      </c>
      <c r="KQ58" s="662" t="str">
        <f t="shared" si="215"/>
        <v/>
      </c>
      <c r="KR58" s="869" t="str">
        <f>IF($AC$24="","",IF(AND($S$26=KP$11,$U$26&lt;&gt;""),$U$26,IF(AND($S$26=KP$11,$AA$26&lt;&gt;""),$AA$26,IF($S$26=KP$11,$AB$26,""))))</f>
        <v/>
      </c>
      <c r="KS58" s="879" t="str">
        <f t="shared" si="216"/>
        <v/>
      </c>
      <c r="KT58" s="662" t="str">
        <f t="shared" si="217"/>
        <v/>
      </c>
      <c r="KU58" s="869" t="str">
        <f>IF($AC$24="","",IF(AND($S$26=KS$11,$U$26&lt;&gt;""),$U$26,IF(AND($S$26=KS$11,$AA$26&lt;&gt;""),$AA$26,IF($S$26=KS$11,$AB$26,""))))</f>
        <v/>
      </c>
      <c r="KV58" s="879" t="str">
        <f t="shared" si="218"/>
        <v/>
      </c>
      <c r="KW58" s="662" t="str">
        <f t="shared" si="219"/>
        <v/>
      </c>
      <c r="KX58" s="869" t="str">
        <f>IF($AC$24="","",IF(AND($S$26=KV$11,$U$26&lt;&gt;""),$U$26,IF(AND($S$26=KV$11,$AA$26&lt;&gt;""),$AA$26,IF($S$26=KV$11,$AB$26,""))))</f>
        <v/>
      </c>
      <c r="KY58" s="879" t="str">
        <f t="shared" si="220"/>
        <v/>
      </c>
      <c r="KZ58" s="662" t="str">
        <f t="shared" si="221"/>
        <v/>
      </c>
      <c r="LA58" s="869" t="str">
        <f>IF($AC$24="","",IF(AND($S$26=KY$11,$U$26&lt;&gt;""),$U$26,IF(AND($S$26=KY$11,$AA$26&lt;&gt;""),$AA$26,IF($S$26=KY$11,$AB$26,""))))</f>
        <v/>
      </c>
      <c r="LB58" s="879" t="str">
        <f t="shared" si="222"/>
        <v/>
      </c>
      <c r="LC58" s="662" t="str">
        <f t="shared" si="223"/>
        <v/>
      </c>
      <c r="LD58" s="869" t="str">
        <f>IF($AC$24="","",IF(AND($S$26=LB$11,$U$26&lt;&gt;""),$U$26,IF(AND($S$26=LB$11,$AA$26&lt;&gt;""),$AA$26,IF($S$26=LB$11,$AB$26,""))))</f>
        <v/>
      </c>
      <c r="LE58" s="879" t="str">
        <f t="shared" si="224"/>
        <v/>
      </c>
      <c r="LF58" s="662" t="str">
        <f t="shared" si="225"/>
        <v/>
      </c>
      <c r="LG58" s="869" t="str">
        <f>IF($AC$24="","",IF(AND($S$26=LE$11,$U$26&lt;&gt;""),$U$26,IF(AND($S$26=LE$11,$AA$26&lt;&gt;""),$AA$26,IF($S$26=LE$11,$AB$26,""))))</f>
        <v/>
      </c>
      <c r="LH58"/>
      <c r="LI58"/>
      <c r="LJ58"/>
      <c r="LK58"/>
      <c r="LL58"/>
      <c r="LM58"/>
    </row>
    <row r="59" spans="4:325" ht="13.5" thickBot="1">
      <c r="D59" s="8"/>
      <c r="E59" s="8"/>
      <c r="F59" s="8"/>
      <c r="G59" s="8"/>
      <c r="H59" s="8"/>
      <c r="M59" s="8"/>
      <c r="N59" s="8"/>
      <c r="S59" s="8"/>
      <c r="T59" s="8"/>
      <c r="U59" s="8"/>
      <c r="V59" s="8"/>
      <c r="W59" s="8"/>
      <c r="AH59" s="8"/>
      <c r="AI59" s="8"/>
      <c r="AJ59" s="8"/>
      <c r="AK59" s="8"/>
      <c r="BJ59" s="8"/>
      <c r="CG59" s="762">
        <v>13</v>
      </c>
      <c r="CH59" s="770" t="str">
        <f t="shared" si="226"/>
        <v>Antonin Klatovsky</v>
      </c>
      <c r="CI59" s="496">
        <f t="shared" si="227"/>
        <v>0</v>
      </c>
      <c r="CU59" s="13">
        <f t="shared" si="237"/>
        <v>18</v>
      </c>
      <c r="CV59" s="13">
        <f t="shared" si="228"/>
        <v>19</v>
      </c>
      <c r="CW59" s="13" t="str">
        <f t="shared" si="228"/>
        <v>Daniel Henderson</v>
      </c>
      <c r="CX59" s="13" t="str">
        <f t="shared" si="228"/>
        <v/>
      </c>
      <c r="CY59" s="13" t="str">
        <f t="shared" si="228"/>
        <v/>
      </c>
      <c r="CZ59" s="13" t="str">
        <f t="shared" si="228"/>
        <v/>
      </c>
      <c r="DC59" s="13">
        <f t="shared" si="238"/>
        <v>0</v>
      </c>
      <c r="DD59" s="243">
        <f t="shared" si="229"/>
        <v>0</v>
      </c>
      <c r="DE59" s="236">
        <f t="shared" si="239"/>
        <v>0</v>
      </c>
      <c r="DF59" s="232">
        <f t="shared" si="230"/>
        <v>0</v>
      </c>
      <c r="DG59" s="234">
        <f t="shared" si="240"/>
        <v>0</v>
      </c>
      <c r="DH59" s="232">
        <f t="shared" si="231"/>
        <v>0</v>
      </c>
      <c r="DI59" s="41">
        <f t="shared" si="241"/>
        <v>0</v>
      </c>
      <c r="DJ59" s="271">
        <f t="shared" si="232"/>
        <v>0</v>
      </c>
      <c r="DK59" s="273">
        <f t="shared" si="233"/>
        <v>0</v>
      </c>
      <c r="DL59" s="281">
        <f t="shared" si="242"/>
        <v>0</v>
      </c>
      <c r="DM59" s="644">
        <f t="shared" si="243"/>
        <v>4.0999999999999999E-7</v>
      </c>
      <c r="DN59" s="285">
        <f t="shared" si="234"/>
        <v>0</v>
      </c>
      <c r="DO59" s="285">
        <f t="shared" si="235"/>
        <v>0</v>
      </c>
      <c r="DP59" s="285">
        <f t="shared" si="236"/>
        <v>4.0999999999999999E-7</v>
      </c>
      <c r="FE59" s="655">
        <f>IF($FD$41=1,VLOOKUP($FB$41,$AH$32:$AQ$39,10,FALSE),0)</f>
        <v>0</v>
      </c>
      <c r="FG59" s="658">
        <f>IF($AR$40="",0,IF($FF$41=2,VLOOKUP($FB$41,$AH$40:$AR$43,10,FALSE),0))</f>
        <v>0</v>
      </c>
      <c r="FL59" s="716"/>
      <c r="FM59" s="716"/>
      <c r="FN59"/>
      <c r="FO59"/>
      <c r="FP59"/>
      <c r="FQ59"/>
      <c r="FR59"/>
      <c r="FS59"/>
      <c r="FT59"/>
      <c r="FU59"/>
      <c r="FV59"/>
      <c r="FW59"/>
      <c r="FX59"/>
      <c r="FY59"/>
      <c r="FZ59"/>
      <c r="GA59"/>
      <c r="GB59"/>
      <c r="GC59"/>
      <c r="GD59"/>
      <c r="GE59"/>
      <c r="GF59"/>
      <c r="GG59"/>
      <c r="GW59" s="1145"/>
      <c r="GX59" s="231" t="str">
        <f>IF($AC$24="","",IF($JB$27=$GX$3,$JC$27,IF(AND($W$27=$GX$3,$AA$27&lt;&gt;""),$AA$27,IF(AND($W$27=$GX$3,$AA$27=""),$AB$27,""))))</f>
        <v/>
      </c>
      <c r="GY59" s="302">
        <v>33</v>
      </c>
      <c r="GZ59" s="303" t="str">
        <f t="shared" si="105"/>
        <v/>
      </c>
      <c r="HA59" s="98" t="str">
        <f t="shared" si="62"/>
        <v/>
      </c>
      <c r="HB59" s="303"/>
      <c r="HC59" s="98" t="str">
        <f t="shared" si="106"/>
        <v/>
      </c>
      <c r="HG59" s="1145"/>
      <c r="HH59" s="231" t="str">
        <f>IF($AC$24="","",IF($JB$27=$HH$3,$JC$27,IF(AND($W$27=$HH$3,$AA$27&lt;&gt;""),$AA$27,IF(AND($W$27=$HH$3,$AA$27=""),$AB$27,""))))</f>
        <v/>
      </c>
      <c r="HI59" s="302">
        <v>33</v>
      </c>
      <c r="HJ59" s="303" t="str">
        <f t="shared" si="107"/>
        <v/>
      </c>
      <c r="HK59" s="98" t="str">
        <f t="shared" si="63"/>
        <v/>
      </c>
      <c r="HL59" s="303"/>
      <c r="HM59" s="98" t="str">
        <f t="shared" si="64"/>
        <v/>
      </c>
      <c r="JJ59" s="1336"/>
      <c r="JK59" s="877">
        <v>33</v>
      </c>
      <c r="JL59" s="880" t="str">
        <f t="shared" si="108"/>
        <v/>
      </c>
      <c r="JM59" s="873" t="str">
        <f t="shared" si="196"/>
        <v/>
      </c>
      <c r="JN59" s="870" t="str">
        <f>IF($AC$24="","",IF(AND($S$27=JL$11,$U$27&lt;&gt;""),$U$27,IF(AND($S$27=JL$11,$AA$27&lt;&gt;""),$AA$27,IF($S$27=JL$11,$AB$27,""))))</f>
        <v/>
      </c>
      <c r="JO59" s="880" t="str">
        <f t="shared" si="109"/>
        <v/>
      </c>
      <c r="JP59" s="873" t="str">
        <f t="shared" si="197"/>
        <v/>
      </c>
      <c r="JQ59" s="870" t="str">
        <f>IF($AC$24="","",IF(AND($S$27=JO$11,$U$27&lt;&gt;""),$U$27,IF(AND($S$27=JO$11,$AA$27&lt;&gt;""),$AA$27,IF($S$27=JO$11,$AB$27,""))))</f>
        <v/>
      </c>
      <c r="JR59" s="880" t="str">
        <f t="shared" si="198"/>
        <v/>
      </c>
      <c r="JS59" s="873" t="str">
        <f t="shared" si="199"/>
        <v/>
      </c>
      <c r="JT59" s="870" t="str">
        <f>IF($AC$24="","",IF(AND($S$27=JR$11,$U$27&lt;&gt;""),$U$27,IF(AND($S$27=JR$11,$AA$27&lt;&gt;""),$AA$27,IF($S$27=JR$11,$AB$27,""))))</f>
        <v/>
      </c>
      <c r="JU59" s="880" t="str">
        <f t="shared" si="200"/>
        <v/>
      </c>
      <c r="JV59" s="873" t="str">
        <f t="shared" si="201"/>
        <v/>
      </c>
      <c r="JW59" s="870" t="str">
        <f>IF($AC$24="","",IF(AND($S$27=JU$11,$U$27&lt;&gt;""),$U$27,IF(AND($S$27=JU$11,$AA$27&lt;&gt;""),$AA$27,IF($S$27=JU$11,$AB$27,""))))</f>
        <v/>
      </c>
      <c r="JX59" s="880" t="str">
        <f t="shared" si="202"/>
        <v/>
      </c>
      <c r="JY59" s="873" t="str">
        <f t="shared" si="203"/>
        <v/>
      </c>
      <c r="JZ59" s="870" t="str">
        <f>IF($AC$24="","",IF(AND($S$27=JX$11,$U$27&lt;&gt;""),$U$27,IF(AND($S$27=JX$11,$AA$27&lt;&gt;""),$AA$27,IF($S$27=JX$11,$AB$27,""))))</f>
        <v/>
      </c>
      <c r="KA59" s="880" t="str">
        <f t="shared" si="204"/>
        <v/>
      </c>
      <c r="KB59" s="873" t="str">
        <f t="shared" si="205"/>
        <v/>
      </c>
      <c r="KC59" s="870" t="str">
        <f>IF($AC$24="","",IF(AND($S$27=KA$11,$U$27&lt;&gt;""),$U$27,IF(AND($S$27=KA$11,$AA$27&lt;&gt;""),$AA$27,IF($S$27=KA$11,$AB$27,""))))</f>
        <v/>
      </c>
      <c r="KD59" s="880" t="str">
        <f t="shared" si="206"/>
        <v/>
      </c>
      <c r="KE59" s="873" t="str">
        <f t="shared" si="207"/>
        <v/>
      </c>
      <c r="KF59" s="870" t="str">
        <f>IF($AC$24="","",IF(AND($S$27=KD$11,$U$27&lt;&gt;""),$U$27,IF(AND($S$27=KD$11,$AA$27&lt;&gt;""),$AA$27,IF($S$27=KD$11,$AB$27,""))))</f>
        <v/>
      </c>
      <c r="KG59" s="880" t="str">
        <f t="shared" si="208"/>
        <v/>
      </c>
      <c r="KH59" s="873" t="str">
        <f t="shared" si="209"/>
        <v/>
      </c>
      <c r="KI59" s="870" t="str">
        <f>IF($AC$24="","",IF(AND($S$27=KG$11,$U$27&lt;&gt;""),$U$27,IF(AND($S$27=KG$11,$AA$27&lt;&gt;""),$AA$27,IF($S$27=KG$11,$AB$27,""))))</f>
        <v/>
      </c>
      <c r="KJ59" s="880" t="str">
        <f t="shared" si="210"/>
        <v/>
      </c>
      <c r="KK59" s="873" t="str">
        <f t="shared" si="211"/>
        <v/>
      </c>
      <c r="KL59" s="870" t="str">
        <f>IF($AC$24="","",IF(AND($S$27=KJ$11,$U$27&lt;&gt;""),$U$27,IF(AND($S$27=KJ$11,$AA$27&lt;&gt;""),$AA$27,IF($S$27=KJ$11,$AB$27,""))))</f>
        <v/>
      </c>
      <c r="KM59" s="880" t="str">
        <f t="shared" si="212"/>
        <v/>
      </c>
      <c r="KN59" s="873" t="str">
        <f t="shared" si="213"/>
        <v/>
      </c>
      <c r="KO59" s="870" t="str">
        <f>IF($AC$24="","",IF(AND($S$27=KM$11,$U$27&lt;&gt;""),$U$27,IF(AND($S$27=KM$11,$AA$27&lt;&gt;""),$AA$27,IF($S$27=KM$11,$AB$27,""))))</f>
        <v/>
      </c>
      <c r="KP59" s="880" t="str">
        <f t="shared" si="214"/>
        <v/>
      </c>
      <c r="KQ59" s="873" t="str">
        <f t="shared" si="215"/>
        <v/>
      </c>
      <c r="KR59" s="870" t="str">
        <f>IF($AC$24="","",IF(AND($S$27=KP$11,$U$27&lt;&gt;""),$U$27,IF(AND($S$27=KP$11,$AA$27&lt;&gt;""),$AA$27,IF($S$27=KP$11,$AB$27,""))))</f>
        <v/>
      </c>
      <c r="KS59" s="880" t="str">
        <f t="shared" si="216"/>
        <v/>
      </c>
      <c r="KT59" s="873" t="str">
        <f t="shared" si="217"/>
        <v/>
      </c>
      <c r="KU59" s="870" t="str">
        <f>IF($AC$24="","",IF(AND($S$27=KS$11,$U$27&lt;&gt;""),$U$27,IF(AND($S$27=KS$11,$AA$27&lt;&gt;""),$AA$27,IF($S$27=KS$11,$AB$27,""))))</f>
        <v/>
      </c>
      <c r="KV59" s="880" t="str">
        <f t="shared" si="218"/>
        <v/>
      </c>
      <c r="KW59" s="873" t="str">
        <f t="shared" si="219"/>
        <v/>
      </c>
      <c r="KX59" s="870" t="str">
        <f>IF($AC$24="","",IF(AND($S$27=KV$11,$U$27&lt;&gt;""),$U$27,IF(AND($S$27=KV$11,$AA$27&lt;&gt;""),$AA$27,IF($S$27=KV$11,$AB$27,""))))</f>
        <v/>
      </c>
      <c r="KY59" s="880" t="str">
        <f t="shared" si="220"/>
        <v/>
      </c>
      <c r="KZ59" s="873" t="str">
        <f t="shared" si="221"/>
        <v/>
      </c>
      <c r="LA59" s="870" t="str">
        <f>IF($AC$24="","",IF(AND($S$27=KY$11,$U$27&lt;&gt;""),$U$27,IF(AND($S$27=KY$11,$AA$27&lt;&gt;""),$AA$27,IF($S$27=KY$11,$AB$27,""))))</f>
        <v/>
      </c>
      <c r="LB59" s="880" t="str">
        <f t="shared" si="222"/>
        <v/>
      </c>
      <c r="LC59" s="873" t="str">
        <f t="shared" si="223"/>
        <v/>
      </c>
      <c r="LD59" s="870" t="str">
        <f>IF($AC$24="","",IF(AND($S$27=LB$11,$U$27&lt;&gt;""),$U$27,IF(AND($S$27=LB$11,$AA$27&lt;&gt;""),$AA$27,IF($S$27=LB$11,$AB$27,""))))</f>
        <v/>
      </c>
      <c r="LE59" s="880" t="str">
        <f t="shared" si="224"/>
        <v/>
      </c>
      <c r="LF59" s="873" t="str">
        <f t="shared" si="225"/>
        <v/>
      </c>
      <c r="LG59" s="870" t="str">
        <f>IF($AC$24="","",IF(AND($S$27=LE$11,$U$27&lt;&gt;""),$U$27,IF(AND($S$27=LE$11,$AA$27&lt;&gt;""),$AA$27,IF($S$27=LE$11,$AB$27,""))))</f>
        <v/>
      </c>
      <c r="LH59"/>
      <c r="LI59"/>
      <c r="LJ59"/>
      <c r="LK59"/>
      <c r="LL59"/>
      <c r="LM59"/>
    </row>
    <row r="60" spans="4:325">
      <c r="D60" s="8"/>
      <c r="E60" s="8"/>
      <c r="F60" s="8"/>
      <c r="G60" s="8"/>
      <c r="H60" s="8"/>
      <c r="M60" s="8"/>
      <c r="N60" s="8"/>
      <c r="S60" s="8"/>
      <c r="T60" s="8"/>
      <c r="U60" s="8"/>
      <c r="V60" s="8"/>
      <c r="W60" s="8"/>
      <c r="AH60" s="8"/>
      <c r="AI60" s="8"/>
      <c r="AJ60" s="8"/>
      <c r="AK60" s="8"/>
      <c r="BJ60" s="8"/>
      <c r="CG60" s="762">
        <v>14</v>
      </c>
      <c r="CH60" s="770" t="str">
        <f t="shared" si="226"/>
        <v>Harald Simon</v>
      </c>
      <c r="CI60" s="496">
        <f t="shared" si="227"/>
        <v>0</v>
      </c>
      <c r="CU60" s="13">
        <f t="shared" si="237"/>
        <v>8</v>
      </c>
      <c r="CV60" s="13">
        <f t="shared" si="228"/>
        <v>8</v>
      </c>
      <c r="CW60" s="13" t="str">
        <f t="shared" si="228"/>
        <v>Stefan Pletschacher</v>
      </c>
      <c r="CX60" s="13" t="str">
        <f t="shared" si="228"/>
        <v/>
      </c>
      <c r="CY60" s="13" t="str">
        <f t="shared" si="228"/>
        <v/>
      </c>
      <c r="CZ60" s="13" t="str">
        <f t="shared" si="228"/>
        <v/>
      </c>
      <c r="DC60" s="13">
        <f t="shared" si="238"/>
        <v>0</v>
      </c>
      <c r="DD60" s="243">
        <f t="shared" si="229"/>
        <v>0</v>
      </c>
      <c r="DE60" s="236">
        <f t="shared" si="239"/>
        <v>0</v>
      </c>
      <c r="DF60" s="232">
        <f t="shared" si="230"/>
        <v>0</v>
      </c>
      <c r="DG60" s="234">
        <f t="shared" si="240"/>
        <v>0</v>
      </c>
      <c r="DH60" s="232">
        <f t="shared" si="231"/>
        <v>0</v>
      </c>
      <c r="DI60" s="41">
        <f t="shared" si="241"/>
        <v>0</v>
      </c>
      <c r="DJ60" s="271">
        <f t="shared" si="232"/>
        <v>0</v>
      </c>
      <c r="DK60" s="273">
        <f t="shared" si="233"/>
        <v>0</v>
      </c>
      <c r="DL60" s="281">
        <f t="shared" si="242"/>
        <v>0</v>
      </c>
      <c r="DM60" s="643">
        <f t="shared" si="243"/>
        <v>5.2E-7</v>
      </c>
      <c r="DN60" s="284">
        <f t="shared" si="234"/>
        <v>0</v>
      </c>
      <c r="DO60" s="284">
        <f t="shared" si="235"/>
        <v>0</v>
      </c>
      <c r="DP60" s="284">
        <f t="shared" si="236"/>
        <v>5.2E-7</v>
      </c>
      <c r="FE60" s="655">
        <f>IF($FD$42=1,VLOOKUP($FB$42,$AH$32:$AQ$39,10,FALSE),0)</f>
        <v>0</v>
      </c>
      <c r="FG60" s="658">
        <f>IF($AR$40="",0,IF($FF$42=2,VLOOKUP($FB$42,$AH$40:$AR$43,10,FALSE),0))</f>
        <v>0</v>
      </c>
      <c r="FL60" s="716"/>
      <c r="FM60" s="716"/>
      <c r="FN60"/>
      <c r="FO60"/>
      <c r="FP60"/>
      <c r="FQ60"/>
      <c r="FR60"/>
      <c r="FS60"/>
      <c r="FT60"/>
      <c r="FU60"/>
      <c r="FV60"/>
      <c r="FW60"/>
      <c r="FX60"/>
      <c r="FY60"/>
      <c r="FZ60"/>
      <c r="GA60"/>
      <c r="GB60"/>
      <c r="GC60"/>
      <c r="GD60"/>
      <c r="GE60"/>
      <c r="GF60"/>
      <c r="GG60"/>
      <c r="GW60" s="1143">
        <v>13</v>
      </c>
      <c r="GX60" s="229" t="str">
        <f>IF($AC$28="","",IF($JB$28=$GX$3,$JC$28,IF(AND($W$28=$GX$3,$AA$28&lt;&gt;""),$AA$28,IF(AND($W$28=$GX$3,$AA$28=""),$AB$28,""))))</f>
        <v/>
      </c>
      <c r="GY60" s="299">
        <v>32</v>
      </c>
      <c r="GZ60" s="300" t="str">
        <f t="shared" si="105"/>
        <v/>
      </c>
      <c r="HA60" s="93" t="str">
        <f t="shared" si="62"/>
        <v/>
      </c>
      <c r="HB60" s="300"/>
      <c r="HC60" s="93" t="str">
        <f t="shared" si="106"/>
        <v/>
      </c>
      <c r="HG60" s="1143">
        <v>13</v>
      </c>
      <c r="HH60" s="229" t="str">
        <f>IF($AC$28="","",IF($JB$28=$HH$3,$JC$28,IF(AND($W$28=$HH$3,$AA$28&lt;&gt;""),$AA$28,IF(AND($W$28=$HH$3,$AA$28=""),$AB$28,""))))</f>
        <v/>
      </c>
      <c r="HI60" s="299">
        <v>32</v>
      </c>
      <c r="HJ60" s="300" t="str">
        <f t="shared" si="107"/>
        <v/>
      </c>
      <c r="HK60" s="93" t="str">
        <f t="shared" si="63"/>
        <v/>
      </c>
      <c r="HL60" s="300"/>
      <c r="HM60" s="93" t="str">
        <f t="shared" si="64"/>
        <v/>
      </c>
      <c r="JJ60" s="1334">
        <v>13</v>
      </c>
      <c r="JK60" s="875">
        <v>32</v>
      </c>
      <c r="JL60" s="878" t="str">
        <f t="shared" si="108"/>
        <v/>
      </c>
      <c r="JM60" s="871" t="str">
        <f t="shared" si="196"/>
        <v/>
      </c>
      <c r="JN60" s="868" t="str">
        <f>IF($AC$28="","",IF(AND($S$28=JL$11,$U$28&lt;&gt;""),$U$28,IF(AND($S$28=JL$11,$AA$28&lt;&gt;""),$AA$28,IF($S$28=JL$11,$AB$28,""))))</f>
        <v/>
      </c>
      <c r="JO60" s="878" t="str">
        <f t="shared" si="109"/>
        <v/>
      </c>
      <c r="JP60" s="871" t="str">
        <f t="shared" si="197"/>
        <v/>
      </c>
      <c r="JQ60" s="868" t="str">
        <f>IF($AC$28="","",IF(AND($S$28=JO$11,$U$28&lt;&gt;""),$U$28,IF(AND($S$28=JO$11,$AA$28&lt;&gt;""),$AA$28,IF($S$28=JO$11,$AB$28,""))))</f>
        <v/>
      </c>
      <c r="JR60" s="878" t="str">
        <f t="shared" si="198"/>
        <v/>
      </c>
      <c r="JS60" s="871" t="str">
        <f t="shared" si="199"/>
        <v/>
      </c>
      <c r="JT60" s="868" t="str">
        <f>IF($AC$28="","",IF(AND($S$28=JR$11,$U$28&lt;&gt;""),$U$28,IF(AND($S$28=JR$11,$AA$28&lt;&gt;""),$AA$28,IF($S$28=JR$11,$AB$28,""))))</f>
        <v/>
      </c>
      <c r="JU60" s="878" t="str">
        <f t="shared" si="200"/>
        <v/>
      </c>
      <c r="JV60" s="871" t="str">
        <f t="shared" si="201"/>
        <v/>
      </c>
      <c r="JW60" s="868" t="str">
        <f>IF($AC$28="","",IF(AND($S$28=JU$11,$U$28&lt;&gt;""),$U$28,IF(AND($S$28=JU$11,$AA$28&lt;&gt;""),$AA$28,IF($S$28=JU$11,$AB$28,""))))</f>
        <v/>
      </c>
      <c r="JX60" s="878" t="str">
        <f t="shared" si="202"/>
        <v/>
      </c>
      <c r="JY60" s="871" t="str">
        <f t="shared" si="203"/>
        <v/>
      </c>
      <c r="JZ60" s="868" t="str">
        <f>IF($AC$28="","",IF(AND($S$28=JX$11,$U$28&lt;&gt;""),$U$28,IF(AND($S$28=JX$11,$AA$28&lt;&gt;""),$AA$28,IF($S$28=JX$11,$AB$28,""))))</f>
        <v/>
      </c>
      <c r="KA60" s="878" t="str">
        <f t="shared" si="204"/>
        <v/>
      </c>
      <c r="KB60" s="871" t="str">
        <f t="shared" si="205"/>
        <v/>
      </c>
      <c r="KC60" s="868" t="str">
        <f>IF($AC$28="","",IF(AND($S$28=KA$11,$U$28&lt;&gt;""),$U$28,IF(AND($S$28=KA$11,$AA$28&lt;&gt;""),$AA$28,IF($S$28=KA$11,$AB$28,""))))</f>
        <v/>
      </c>
      <c r="KD60" s="878" t="str">
        <f t="shared" si="206"/>
        <v/>
      </c>
      <c r="KE60" s="871" t="str">
        <f t="shared" si="207"/>
        <v/>
      </c>
      <c r="KF60" s="868" t="str">
        <f>IF($AC$28="","",IF(AND($S$28=KD$11,$U$28&lt;&gt;""),$U$28,IF(AND($S$28=KD$11,$AA$28&lt;&gt;""),$AA$28,IF($S$28=KD$11,$AB$28,""))))</f>
        <v/>
      </c>
      <c r="KG60" s="878" t="str">
        <f t="shared" si="208"/>
        <v/>
      </c>
      <c r="KH60" s="871" t="str">
        <f t="shared" si="209"/>
        <v/>
      </c>
      <c r="KI60" s="868" t="str">
        <f>IF($AC$28="","",IF(AND($S$28=KG$11,$U$28&lt;&gt;""),$U$28,IF(AND($S$28=KG$11,$AA$28&lt;&gt;""),$AA$28,IF($S$28=KG$11,$AB$28,""))))</f>
        <v/>
      </c>
      <c r="KJ60" s="878" t="str">
        <f t="shared" si="210"/>
        <v/>
      </c>
      <c r="KK60" s="871" t="str">
        <f t="shared" si="211"/>
        <v/>
      </c>
      <c r="KL60" s="868" t="str">
        <f>IF($AC$28="","",IF(AND($S$28=KJ$11,$U$28&lt;&gt;""),$U$28,IF(AND($S$28=KJ$11,$AA$28&lt;&gt;""),$AA$28,IF($S$28=KJ$11,$AB$28,""))))</f>
        <v/>
      </c>
      <c r="KM60" s="878" t="str">
        <f t="shared" si="212"/>
        <v/>
      </c>
      <c r="KN60" s="871" t="str">
        <f t="shared" si="213"/>
        <v/>
      </c>
      <c r="KO60" s="868" t="str">
        <f>IF($AC$28="","",IF(AND($S$28=KM$11,$U$28&lt;&gt;""),$U$28,IF(AND($S$28=KM$11,$AA$28&lt;&gt;""),$AA$28,IF($S$28=KM$11,$AB$28,""))))</f>
        <v/>
      </c>
      <c r="KP60" s="878" t="str">
        <f t="shared" si="214"/>
        <v/>
      </c>
      <c r="KQ60" s="871" t="str">
        <f t="shared" si="215"/>
        <v/>
      </c>
      <c r="KR60" s="868" t="str">
        <f>IF($AC$28="","",IF(AND($S$28=KP$11,$U$28&lt;&gt;""),$U$28,IF(AND($S$28=KP$11,$AA$28&lt;&gt;""),$AA$28,IF($S$28=KP$11,$AB$28,""))))</f>
        <v/>
      </c>
      <c r="KS60" s="878" t="str">
        <f t="shared" si="216"/>
        <v/>
      </c>
      <c r="KT60" s="871" t="str">
        <f t="shared" si="217"/>
        <v/>
      </c>
      <c r="KU60" s="868" t="str">
        <f>IF($AC$28="","",IF(AND($S$28=KS$11,$U$28&lt;&gt;""),$U$28,IF(AND($S$28=KS$11,$AA$28&lt;&gt;""),$AA$28,IF($S$28=KS$11,$AB$28,""))))</f>
        <v/>
      </c>
      <c r="KV60" s="878" t="str">
        <f t="shared" si="218"/>
        <v/>
      </c>
      <c r="KW60" s="871" t="str">
        <f t="shared" si="219"/>
        <v/>
      </c>
      <c r="KX60" s="868" t="str">
        <f>IF($AC$28="","",IF(AND($S$28=KV$11,$U$28&lt;&gt;""),$U$28,IF(AND($S$28=KV$11,$AA$28&lt;&gt;""),$AA$28,IF($S$28=KV$11,$AB$28,""))))</f>
        <v/>
      </c>
      <c r="KY60" s="878" t="str">
        <f t="shared" si="220"/>
        <v/>
      </c>
      <c r="KZ60" s="871" t="str">
        <f t="shared" si="221"/>
        <v/>
      </c>
      <c r="LA60" s="868" t="str">
        <f>IF($AC$28="","",IF(AND($S$28=KY$11,$U$28&lt;&gt;""),$U$28,IF(AND($S$28=KY$11,$AA$28&lt;&gt;""),$AA$28,IF($S$28=KY$11,$AB$28,""))))</f>
        <v/>
      </c>
      <c r="LB60" s="878" t="str">
        <f t="shared" si="222"/>
        <v/>
      </c>
      <c r="LC60" s="871" t="str">
        <f t="shared" si="223"/>
        <v/>
      </c>
      <c r="LD60" s="868" t="str">
        <f>IF($AC$28="","",IF(AND($S$28=LB$11,$U$28&lt;&gt;""),$U$28,IF(AND($S$28=LB$11,$AA$28&lt;&gt;""),$AA$28,IF($S$28=LB$11,$AB$28,""))))</f>
        <v/>
      </c>
      <c r="LE60" s="878" t="str">
        <f t="shared" si="224"/>
        <v/>
      </c>
      <c r="LF60" s="871" t="str">
        <f t="shared" si="225"/>
        <v/>
      </c>
      <c r="LG60" s="868" t="str">
        <f>IF($AC$28="","",IF(AND($S$28=LE$11,$U$28&lt;&gt;""),$U$28,IF(AND($S$28=LE$11,$AA$28&lt;&gt;""),$AA$28,IF($S$28=LE$11,$AB$28,""))))</f>
        <v/>
      </c>
      <c r="LH60"/>
      <c r="LI60"/>
      <c r="LJ60"/>
      <c r="LK60"/>
      <c r="LL60"/>
      <c r="LM60"/>
    </row>
    <row r="61" spans="4:325">
      <c r="D61" s="8"/>
      <c r="E61" s="8"/>
      <c r="F61" s="8"/>
      <c r="G61" s="8"/>
      <c r="H61" s="8"/>
      <c r="M61" s="8"/>
      <c r="N61" s="8"/>
      <c r="S61" s="8"/>
      <c r="T61" s="8"/>
      <c r="U61" s="8"/>
      <c r="V61" s="8"/>
      <c r="W61" s="8"/>
      <c r="AH61" s="8"/>
      <c r="AI61" s="8"/>
      <c r="AJ61" s="8"/>
      <c r="AK61" s="8"/>
      <c r="BJ61" s="8"/>
      <c r="CG61" s="762">
        <v>15</v>
      </c>
      <c r="CH61" s="770" t="str">
        <f t="shared" si="226"/>
        <v>Rene Stellingwerf</v>
      </c>
      <c r="CI61" s="496">
        <f t="shared" si="227"/>
        <v>0</v>
      </c>
      <c r="CU61" s="13">
        <f t="shared" si="237"/>
        <v>2</v>
      </c>
      <c r="CV61" s="13">
        <f t="shared" si="228"/>
        <v>2</v>
      </c>
      <c r="CW61" s="13" t="str">
        <f t="shared" si="228"/>
        <v>Dimitry Koltakov</v>
      </c>
      <c r="CX61" s="13" t="str">
        <f t="shared" si="228"/>
        <v/>
      </c>
      <c r="CY61" s="13" t="str">
        <f t="shared" si="228"/>
        <v/>
      </c>
      <c r="CZ61" s="13" t="str">
        <f t="shared" si="228"/>
        <v/>
      </c>
      <c r="DC61" s="13">
        <f t="shared" si="238"/>
        <v>0</v>
      </c>
      <c r="DD61" s="243">
        <f t="shared" si="229"/>
        <v>0</v>
      </c>
      <c r="DE61" s="236">
        <f t="shared" si="239"/>
        <v>0</v>
      </c>
      <c r="DF61" s="232">
        <f t="shared" si="230"/>
        <v>0</v>
      </c>
      <c r="DG61" s="234">
        <f t="shared" si="240"/>
        <v>0</v>
      </c>
      <c r="DH61" s="232">
        <f t="shared" si="231"/>
        <v>0</v>
      </c>
      <c r="DI61" s="41">
        <f t="shared" si="241"/>
        <v>0</v>
      </c>
      <c r="DJ61" s="271">
        <f t="shared" si="232"/>
        <v>0</v>
      </c>
      <c r="DK61" s="273">
        <f t="shared" si="233"/>
        <v>0</v>
      </c>
      <c r="DL61" s="281">
        <f t="shared" si="242"/>
        <v>0</v>
      </c>
      <c r="DM61" s="644">
        <f t="shared" si="243"/>
        <v>5.7999999999999995E-7</v>
      </c>
      <c r="DN61" s="285">
        <f t="shared" si="234"/>
        <v>0</v>
      </c>
      <c r="DO61" s="285">
        <f t="shared" si="235"/>
        <v>0</v>
      </c>
      <c r="DP61" s="285">
        <f t="shared" si="236"/>
        <v>5.7999999999999995E-7</v>
      </c>
      <c r="FE61" s="655">
        <f>IF($FD$43=1,VLOOKUP($FB$43,$AH$32:$AQ$39,10,FALSE),0)</f>
        <v>0</v>
      </c>
      <c r="FG61" s="658">
        <f>IF($AR$40="",0,IF($FF$43=2,VLOOKUP($FB$43,$AH$40:$AR$43,10,FALSE),0))</f>
        <v>0</v>
      </c>
      <c r="GW61" s="1144"/>
      <c r="GX61" s="230" t="str">
        <f>IF($AC$28="","",IF($JB$29=$GX$3,$JC$29,IF(AND($W$29=$GX$3,$AA$29&lt;&gt;""),$AA$29,IF(AND($W$29=$GX$3,$AA$29=""),$AB$29,""))))</f>
        <v/>
      </c>
      <c r="GY61" s="301">
        <v>31</v>
      </c>
      <c r="GZ61" s="5" t="str">
        <f t="shared" si="105"/>
        <v/>
      </c>
      <c r="HA61" s="95" t="str">
        <f t="shared" si="62"/>
        <v/>
      </c>
      <c r="HB61" s="5"/>
      <c r="HC61" s="95" t="str">
        <f t="shared" si="106"/>
        <v/>
      </c>
      <c r="HG61" s="1144"/>
      <c r="HH61" s="230" t="str">
        <f>IF($AC$28="","",IF($JB$29=$HH$3,$JC$29,IF(AND($W$29=$HH$3,$AA$29&lt;&gt;""),$AA$29,IF(AND($W$29=$HH$3,$AA$29=""),$AB$29,""))))</f>
        <v/>
      </c>
      <c r="HI61" s="301">
        <v>31</v>
      </c>
      <c r="HJ61" s="5" t="str">
        <f t="shared" si="107"/>
        <v/>
      </c>
      <c r="HK61" s="95" t="str">
        <f t="shared" si="63"/>
        <v/>
      </c>
      <c r="HL61" s="5"/>
      <c r="HM61" s="95" t="str">
        <f t="shared" si="64"/>
        <v/>
      </c>
      <c r="JJ61" s="1335"/>
      <c r="JK61" s="876">
        <v>31</v>
      </c>
      <c r="JL61" s="879" t="str">
        <f t="shared" si="108"/>
        <v/>
      </c>
      <c r="JM61" s="662" t="str">
        <f t="shared" si="196"/>
        <v/>
      </c>
      <c r="JN61" s="869" t="str">
        <f>IF($AC$28="","",IF(AND($S$29=JL$11,$U$29&lt;&gt;""),$U$29,IF(AND($S$29=JL$11,$AA$29&lt;&gt;""),$AA$29,IF($S$29=JL$11,$AB$29,""))))</f>
        <v/>
      </c>
      <c r="JO61" s="879" t="str">
        <f t="shared" si="109"/>
        <v/>
      </c>
      <c r="JP61" s="662" t="str">
        <f t="shared" si="197"/>
        <v/>
      </c>
      <c r="JQ61" s="869" t="str">
        <f>IF($AC$28="","",IF(AND($S$29=JO$11,$U$29&lt;&gt;""),$U$29,IF(AND($S$29=JO$11,$AA$29&lt;&gt;""),$AA$29,IF($S$29=JO$11,$AB$29,""))))</f>
        <v/>
      </c>
      <c r="JR61" s="879" t="str">
        <f t="shared" si="198"/>
        <v/>
      </c>
      <c r="JS61" s="662" t="str">
        <f t="shared" si="199"/>
        <v/>
      </c>
      <c r="JT61" s="869" t="str">
        <f>IF($AC$28="","",IF(AND($S$29=JR$11,$U$29&lt;&gt;""),$U$29,IF(AND($S$29=JR$11,$AA$29&lt;&gt;""),$AA$29,IF($S$29=JR$11,$AB$29,""))))</f>
        <v/>
      </c>
      <c r="JU61" s="879" t="str">
        <f t="shared" si="200"/>
        <v/>
      </c>
      <c r="JV61" s="662" t="str">
        <f t="shared" si="201"/>
        <v/>
      </c>
      <c r="JW61" s="869" t="str">
        <f>IF($AC$28="","",IF(AND($S$29=JU$11,$U$29&lt;&gt;""),$U$29,IF(AND($S$29=JU$11,$AA$29&lt;&gt;""),$AA$29,IF($S$29=JU$11,$AB$29,""))))</f>
        <v/>
      </c>
      <c r="JX61" s="879" t="str">
        <f t="shared" si="202"/>
        <v/>
      </c>
      <c r="JY61" s="662" t="str">
        <f t="shared" si="203"/>
        <v/>
      </c>
      <c r="JZ61" s="869" t="str">
        <f>IF($AC$28="","",IF(AND($S$29=JX$11,$U$29&lt;&gt;""),$U$29,IF(AND($S$29=JX$11,$AA$29&lt;&gt;""),$AA$29,IF($S$29=JX$11,$AB$29,""))))</f>
        <v/>
      </c>
      <c r="KA61" s="879" t="str">
        <f t="shared" si="204"/>
        <v/>
      </c>
      <c r="KB61" s="662" t="str">
        <f t="shared" si="205"/>
        <v/>
      </c>
      <c r="KC61" s="869" t="str">
        <f>IF($AC$28="","",IF(AND($S$29=KA$11,$U$29&lt;&gt;""),$U$29,IF(AND($S$29=KA$11,$AA$29&lt;&gt;""),$AA$29,IF($S$29=KA$11,$AB$29,""))))</f>
        <v/>
      </c>
      <c r="KD61" s="879" t="str">
        <f t="shared" si="206"/>
        <v/>
      </c>
      <c r="KE61" s="662" t="str">
        <f t="shared" si="207"/>
        <v/>
      </c>
      <c r="KF61" s="869" t="str">
        <f>IF($AC$28="","",IF(AND($S$29=KD$11,$U$29&lt;&gt;""),$U$29,IF(AND($S$29=KD$11,$AA$29&lt;&gt;""),$AA$29,IF($S$29=KD$11,$AB$29,""))))</f>
        <v/>
      </c>
      <c r="KG61" s="879" t="str">
        <f t="shared" si="208"/>
        <v/>
      </c>
      <c r="KH61" s="662" t="str">
        <f t="shared" si="209"/>
        <v/>
      </c>
      <c r="KI61" s="869" t="str">
        <f>IF($AC$28="","",IF(AND($S$29=KG$11,$U$29&lt;&gt;""),$U$29,IF(AND($S$29=KG$11,$AA$29&lt;&gt;""),$AA$29,IF($S$29=KG$11,$AB$29,""))))</f>
        <v/>
      </c>
      <c r="KJ61" s="879" t="str">
        <f t="shared" si="210"/>
        <v/>
      </c>
      <c r="KK61" s="662" t="str">
        <f t="shared" si="211"/>
        <v/>
      </c>
      <c r="KL61" s="869" t="str">
        <f>IF($AC$28="","",IF(AND($S$29=KJ$11,$U$29&lt;&gt;""),$U$29,IF(AND($S$29=KJ$11,$AA$29&lt;&gt;""),$AA$29,IF($S$29=KJ$11,$AB$29,""))))</f>
        <v/>
      </c>
      <c r="KM61" s="879" t="str">
        <f t="shared" si="212"/>
        <v/>
      </c>
      <c r="KN61" s="662" t="str">
        <f t="shared" si="213"/>
        <v/>
      </c>
      <c r="KO61" s="869" t="str">
        <f>IF($AC$28="","",IF(AND($S$29=KM$11,$U$29&lt;&gt;""),$U$29,IF(AND($S$29=KM$11,$AA$29&lt;&gt;""),$AA$29,IF($S$29=KM$11,$AB$29,""))))</f>
        <v/>
      </c>
      <c r="KP61" s="879" t="str">
        <f t="shared" si="214"/>
        <v/>
      </c>
      <c r="KQ61" s="662" t="str">
        <f t="shared" si="215"/>
        <v/>
      </c>
      <c r="KR61" s="869" t="str">
        <f>IF($AC$28="","",IF(AND($S$29=KP$11,$U$29&lt;&gt;""),$U$29,IF(AND($S$29=KP$11,$AA$29&lt;&gt;""),$AA$29,IF($S$29=KP$11,$AB$29,""))))</f>
        <v/>
      </c>
      <c r="KS61" s="879" t="str">
        <f t="shared" si="216"/>
        <v/>
      </c>
      <c r="KT61" s="662" t="str">
        <f t="shared" si="217"/>
        <v/>
      </c>
      <c r="KU61" s="869" t="str">
        <f>IF($AC$28="","",IF(AND($S$29=KS$11,$U$29&lt;&gt;""),$U$29,IF(AND($S$29=KS$11,$AA$29&lt;&gt;""),$AA$29,IF($S$29=KS$11,$AB$29,""))))</f>
        <v/>
      </c>
      <c r="KV61" s="879" t="str">
        <f t="shared" si="218"/>
        <v/>
      </c>
      <c r="KW61" s="662" t="str">
        <f t="shared" si="219"/>
        <v/>
      </c>
      <c r="KX61" s="869" t="str">
        <f>IF($AC$28="","",IF(AND($S$29=KV$11,$U$29&lt;&gt;""),$U$29,IF(AND($S$29=KV$11,$AA$29&lt;&gt;""),$AA$29,IF($S$29=KV$11,$AB$29,""))))</f>
        <v/>
      </c>
      <c r="KY61" s="879" t="str">
        <f t="shared" si="220"/>
        <v/>
      </c>
      <c r="KZ61" s="662" t="str">
        <f t="shared" si="221"/>
        <v/>
      </c>
      <c r="LA61" s="869" t="str">
        <f>IF($AC$28="","",IF(AND($S$29=KY$11,$U$29&lt;&gt;""),$U$29,IF(AND($S$29=KY$11,$AA$29&lt;&gt;""),$AA$29,IF($S$29=KY$11,$AB$29,""))))</f>
        <v/>
      </c>
      <c r="LB61" s="879" t="str">
        <f t="shared" si="222"/>
        <v/>
      </c>
      <c r="LC61" s="662" t="str">
        <f t="shared" si="223"/>
        <v/>
      </c>
      <c r="LD61" s="869" t="str">
        <f>IF($AC$28="","",IF(AND($S$29=LB$11,$U$29&lt;&gt;""),$U$29,IF(AND($S$29=LB$11,$AA$29&lt;&gt;""),$AA$29,IF($S$29=LB$11,$AB$29,""))))</f>
        <v/>
      </c>
      <c r="LE61" s="879" t="str">
        <f t="shared" si="224"/>
        <v/>
      </c>
      <c r="LF61" s="662" t="str">
        <f t="shared" si="225"/>
        <v/>
      </c>
      <c r="LG61" s="869" t="str">
        <f>IF($AC$28="","",IF(AND($S$29=LE$11,$U$29&lt;&gt;""),$U$29,IF(AND($S$29=LE$11,$AA$29&lt;&gt;""),$AA$29,IF($S$29=LE$11,$AB$29,""))))</f>
        <v/>
      </c>
      <c r="LH61"/>
      <c r="LI61"/>
      <c r="LJ61"/>
      <c r="LK61"/>
      <c r="LL61"/>
      <c r="LM61"/>
    </row>
    <row r="62" spans="4:325">
      <c r="D62" s="8"/>
      <c r="E62" s="8"/>
      <c r="F62" s="8"/>
      <c r="G62" s="8"/>
      <c r="H62" s="8"/>
      <c r="M62" s="8"/>
      <c r="N62" s="8"/>
      <c r="S62" s="8"/>
      <c r="T62" s="8"/>
      <c r="U62" s="8"/>
      <c r="V62" s="8"/>
      <c r="W62" s="8"/>
      <c r="AH62" s="8"/>
      <c r="AI62" s="8"/>
      <c r="AJ62" s="8"/>
      <c r="AK62" s="8"/>
      <c r="BJ62" s="8"/>
      <c r="CG62" s="762">
        <v>16</v>
      </c>
      <c r="CH62" s="770" t="str">
        <f t="shared" si="226"/>
        <v>Simon Reitsma</v>
      </c>
      <c r="CI62" s="496">
        <f t="shared" si="227"/>
        <v>0</v>
      </c>
      <c r="CU62" s="13">
        <f t="shared" si="237"/>
        <v>5</v>
      </c>
      <c r="CV62" s="13">
        <f t="shared" si="228"/>
        <v>5</v>
      </c>
      <c r="CW62" s="13" t="str">
        <f t="shared" si="228"/>
        <v>Stefan Svensson</v>
      </c>
      <c r="CX62" s="13" t="str">
        <f t="shared" si="228"/>
        <v/>
      </c>
      <c r="CY62" s="13" t="str">
        <f t="shared" si="228"/>
        <v/>
      </c>
      <c r="CZ62" s="13" t="str">
        <f t="shared" si="228"/>
        <v/>
      </c>
      <c r="DC62" s="13">
        <f t="shared" si="238"/>
        <v>0</v>
      </c>
      <c r="DD62" s="243">
        <f t="shared" si="229"/>
        <v>0</v>
      </c>
      <c r="DE62" s="236">
        <f t="shared" si="239"/>
        <v>0</v>
      </c>
      <c r="DF62" s="232">
        <f t="shared" si="230"/>
        <v>0</v>
      </c>
      <c r="DG62" s="234">
        <f t="shared" si="240"/>
        <v>0</v>
      </c>
      <c r="DH62" s="232">
        <f t="shared" si="231"/>
        <v>0</v>
      </c>
      <c r="DI62" s="41">
        <f t="shared" si="241"/>
        <v>0</v>
      </c>
      <c r="DJ62" s="271">
        <f t="shared" si="232"/>
        <v>0</v>
      </c>
      <c r="DK62" s="273">
        <f t="shared" si="233"/>
        <v>0</v>
      </c>
      <c r="DL62" s="281">
        <f t="shared" si="242"/>
        <v>0</v>
      </c>
      <c r="DM62" s="643">
        <f t="shared" si="243"/>
        <v>5.5000000000000003E-7</v>
      </c>
      <c r="DN62" s="284">
        <f t="shared" si="234"/>
        <v>0</v>
      </c>
      <c r="DO62" s="284">
        <f t="shared" si="235"/>
        <v>0</v>
      </c>
      <c r="DP62" s="284">
        <f t="shared" si="236"/>
        <v>5.5000000000000003E-7</v>
      </c>
      <c r="FE62" s="655">
        <f>IF($FD$44=1,VLOOKUP($FB$44,$AH$32:$AQ$39,10,FALSE),0)</f>
        <v>0</v>
      </c>
      <c r="FG62" s="658">
        <f>IF($AR$40="",0,IF($FF$44=2,VLOOKUP($FB$44,$AH$40:$AR$43,10,FALSE),0))</f>
        <v>0</v>
      </c>
      <c r="GW62" s="1144"/>
      <c r="GX62" s="230" t="str">
        <f>IF($AC$28="","",IF($JB$30=$GX$3,$JC$30,IF(AND($W$30=$GX$3,$AA$30&lt;&gt;""),$AA$30,IF(AND($W$30=$GX$3,$AA$30=""),$AB$30,""))))</f>
        <v/>
      </c>
      <c r="GY62" s="301">
        <v>30</v>
      </c>
      <c r="GZ62" s="5" t="str">
        <f t="shared" si="105"/>
        <v/>
      </c>
      <c r="HA62" s="95" t="str">
        <f t="shared" si="62"/>
        <v/>
      </c>
      <c r="HB62" s="5"/>
      <c r="HC62" s="95" t="str">
        <f t="shared" si="106"/>
        <v/>
      </c>
      <c r="HG62" s="1144"/>
      <c r="HH62" s="230" t="str">
        <f>IF($AC$28="","",IF($JB$30=$HH$3,$JC$30,IF(AND($W$30=$HH$3,$AA$30&lt;&gt;""),$AA$30,IF(AND($W$30=$HH$3,$AA$30=""),$AB$30,""))))</f>
        <v/>
      </c>
      <c r="HI62" s="301">
        <v>30</v>
      </c>
      <c r="HJ62" s="5" t="str">
        <f t="shared" si="107"/>
        <v/>
      </c>
      <c r="HK62" s="95" t="str">
        <f t="shared" si="63"/>
        <v/>
      </c>
      <c r="HL62" s="5"/>
      <c r="HM62" s="95" t="str">
        <f t="shared" si="64"/>
        <v/>
      </c>
      <c r="JJ62" s="1335"/>
      <c r="JK62" s="876">
        <v>30</v>
      </c>
      <c r="JL62" s="879" t="str">
        <f t="shared" si="108"/>
        <v/>
      </c>
      <c r="JM62" s="662" t="str">
        <f t="shared" si="196"/>
        <v/>
      </c>
      <c r="JN62" s="869" t="str">
        <f>IF($AC$28="","",IF(AND($S$30=JL$11,$U$30&lt;&gt;""),$U$30,IF(AND($S$30=JL$11,$AA$30&lt;&gt;""),$AA$30,IF($S$30=JL$11,$AB$30,""))))</f>
        <v/>
      </c>
      <c r="JO62" s="879" t="str">
        <f t="shared" si="109"/>
        <v/>
      </c>
      <c r="JP62" s="662" t="str">
        <f t="shared" si="197"/>
        <v/>
      </c>
      <c r="JQ62" s="869" t="str">
        <f>IF($AC$28="","",IF(AND($S$30=JO$11,$U$30&lt;&gt;""),$U$30,IF(AND($S$30=JO$11,$AA$30&lt;&gt;""),$AA$30,IF($S$30=JO$11,$AB$30,""))))</f>
        <v/>
      </c>
      <c r="JR62" s="879" t="str">
        <f t="shared" si="198"/>
        <v/>
      </c>
      <c r="JS62" s="662" t="str">
        <f t="shared" si="199"/>
        <v/>
      </c>
      <c r="JT62" s="869" t="str">
        <f>IF($AC$28="","",IF(AND($S$30=JR$11,$U$30&lt;&gt;""),$U$30,IF(AND($S$30=JR$11,$AA$30&lt;&gt;""),$AA$30,IF($S$30=JR$11,$AB$30,""))))</f>
        <v/>
      </c>
      <c r="JU62" s="879" t="str">
        <f t="shared" si="200"/>
        <v/>
      </c>
      <c r="JV62" s="662" t="str">
        <f t="shared" si="201"/>
        <v/>
      </c>
      <c r="JW62" s="869" t="str">
        <f>IF($AC$28="","",IF(AND($S$30=JU$11,$U$30&lt;&gt;""),$U$30,IF(AND($S$30=JU$11,$AA$30&lt;&gt;""),$AA$30,IF($S$30=JU$11,$AB$30,""))))</f>
        <v/>
      </c>
      <c r="JX62" s="879" t="str">
        <f t="shared" si="202"/>
        <v/>
      </c>
      <c r="JY62" s="662" t="str">
        <f t="shared" si="203"/>
        <v/>
      </c>
      <c r="JZ62" s="869" t="str">
        <f>IF($AC$28="","",IF(AND($S$30=JX$11,$U$30&lt;&gt;""),$U$30,IF(AND($S$30=JX$11,$AA$30&lt;&gt;""),$AA$30,IF($S$30=JX$11,$AB$30,""))))</f>
        <v/>
      </c>
      <c r="KA62" s="879" t="str">
        <f t="shared" si="204"/>
        <v/>
      </c>
      <c r="KB62" s="662" t="str">
        <f t="shared" si="205"/>
        <v/>
      </c>
      <c r="KC62" s="869" t="str">
        <f>IF($AC$28="","",IF(AND($S$30=KA$11,$U$30&lt;&gt;""),$U$30,IF(AND($S$30=KA$11,$AA$30&lt;&gt;""),$AA$30,IF($S$30=KA$11,$AB$30,""))))</f>
        <v/>
      </c>
      <c r="KD62" s="879" t="str">
        <f t="shared" si="206"/>
        <v/>
      </c>
      <c r="KE62" s="662" t="str">
        <f t="shared" si="207"/>
        <v/>
      </c>
      <c r="KF62" s="869" t="str">
        <f>IF($AC$28="","",IF(AND($S$30=KD$11,$U$30&lt;&gt;""),$U$30,IF(AND($S$30=KD$11,$AA$30&lt;&gt;""),$AA$30,IF($S$30=KD$11,$AB$30,""))))</f>
        <v/>
      </c>
      <c r="KG62" s="879" t="str">
        <f t="shared" si="208"/>
        <v/>
      </c>
      <c r="KH62" s="662" t="str">
        <f t="shared" si="209"/>
        <v/>
      </c>
      <c r="KI62" s="869" t="str">
        <f>IF($AC$28="","",IF(AND($S$30=KG$11,$U$30&lt;&gt;""),$U$30,IF(AND($S$30=KG$11,$AA$30&lt;&gt;""),$AA$30,IF($S$30=KG$11,$AB$30,""))))</f>
        <v/>
      </c>
      <c r="KJ62" s="879" t="str">
        <f t="shared" si="210"/>
        <v/>
      </c>
      <c r="KK62" s="662" t="str">
        <f t="shared" si="211"/>
        <v/>
      </c>
      <c r="KL62" s="869" t="str">
        <f>IF($AC$28="","",IF(AND($S$30=KJ$11,$U$30&lt;&gt;""),$U$30,IF(AND($S$30=KJ$11,$AA$30&lt;&gt;""),$AA$30,IF($S$30=KJ$11,$AB$30,""))))</f>
        <v/>
      </c>
      <c r="KM62" s="879" t="str">
        <f t="shared" si="212"/>
        <v/>
      </c>
      <c r="KN62" s="662" t="str">
        <f t="shared" si="213"/>
        <v/>
      </c>
      <c r="KO62" s="869" t="str">
        <f>IF($AC$28="","",IF(AND($S$30=KM$11,$U$30&lt;&gt;""),$U$30,IF(AND($S$30=KM$11,$AA$30&lt;&gt;""),$AA$30,IF($S$30=KM$11,$AB$30,""))))</f>
        <v/>
      </c>
      <c r="KP62" s="879" t="str">
        <f t="shared" si="214"/>
        <v/>
      </c>
      <c r="KQ62" s="662" t="str">
        <f t="shared" si="215"/>
        <v/>
      </c>
      <c r="KR62" s="869" t="str">
        <f>IF($AC$28="","",IF(AND($S$30=KP$11,$U$30&lt;&gt;""),$U$30,IF(AND($S$30=KP$11,$AA$30&lt;&gt;""),$AA$30,IF($S$30=KP$11,$AB$30,""))))</f>
        <v/>
      </c>
      <c r="KS62" s="879" t="str">
        <f t="shared" si="216"/>
        <v/>
      </c>
      <c r="KT62" s="662" t="str">
        <f t="shared" si="217"/>
        <v/>
      </c>
      <c r="KU62" s="869" t="str">
        <f>IF($AC$28="","",IF(AND($S$30=KS$11,$U$30&lt;&gt;""),$U$30,IF(AND($S$30=KS$11,$AA$30&lt;&gt;""),$AA$30,IF($S$30=KS$11,$AB$30,""))))</f>
        <v/>
      </c>
      <c r="KV62" s="879" t="str">
        <f t="shared" si="218"/>
        <v/>
      </c>
      <c r="KW62" s="662" t="str">
        <f t="shared" si="219"/>
        <v/>
      </c>
      <c r="KX62" s="869" t="str">
        <f>IF($AC$28="","",IF(AND($S$30=KV$11,$U$30&lt;&gt;""),$U$30,IF(AND($S$30=KV$11,$AA$30&lt;&gt;""),$AA$30,IF($S$30=KV$11,$AB$30,""))))</f>
        <v/>
      </c>
      <c r="KY62" s="879" t="str">
        <f t="shared" si="220"/>
        <v/>
      </c>
      <c r="KZ62" s="662" t="str">
        <f t="shared" si="221"/>
        <v/>
      </c>
      <c r="LA62" s="869" t="str">
        <f>IF($AC$28="","",IF(AND($S$30=KY$11,$U$30&lt;&gt;""),$U$30,IF(AND($S$30=KY$11,$AA$30&lt;&gt;""),$AA$30,IF($S$30=KY$11,$AB$30,""))))</f>
        <v/>
      </c>
      <c r="LB62" s="879" t="str">
        <f t="shared" si="222"/>
        <v/>
      </c>
      <c r="LC62" s="662" t="str">
        <f t="shared" si="223"/>
        <v/>
      </c>
      <c r="LD62" s="869" t="str">
        <f>IF($AC$28="","",IF(AND($S$30=LB$11,$U$30&lt;&gt;""),$U$30,IF(AND($S$30=LB$11,$AA$30&lt;&gt;""),$AA$30,IF($S$30=LB$11,$AB$30,""))))</f>
        <v/>
      </c>
      <c r="LE62" s="879" t="str">
        <f t="shared" si="224"/>
        <v/>
      </c>
      <c r="LF62" s="662" t="str">
        <f t="shared" si="225"/>
        <v/>
      </c>
      <c r="LG62" s="869" t="str">
        <f>IF($AC$28="","",IF(AND($S$30=LE$11,$U$30&lt;&gt;""),$U$30,IF(AND($S$30=LE$11,$AA$30&lt;&gt;""),$AA$30,IF($S$30=LE$11,$AB$30,""))))</f>
        <v/>
      </c>
      <c r="LH62"/>
      <c r="LI62"/>
      <c r="LJ62"/>
      <c r="LK62"/>
      <c r="LL62"/>
      <c r="LM62"/>
    </row>
    <row r="63" spans="4:325" ht="13.5" thickBot="1">
      <c r="D63" s="8"/>
      <c r="E63" s="8"/>
      <c r="F63" s="8"/>
      <c r="G63" s="8"/>
      <c r="H63" s="8"/>
      <c r="M63" s="8"/>
      <c r="N63" s="8"/>
      <c r="S63" s="8"/>
      <c r="T63" s="8"/>
      <c r="U63" s="8"/>
      <c r="V63" s="8"/>
      <c r="W63" s="8"/>
      <c r="AH63" s="8"/>
      <c r="AI63" s="8"/>
      <c r="AJ63" s="8"/>
      <c r="AK63" s="8"/>
      <c r="BJ63" s="8"/>
      <c r="CG63" s="762">
        <v>17</v>
      </c>
      <c r="CH63" s="770" t="str">
        <f t="shared" si="226"/>
        <v>Max Niedermaier</v>
      </c>
      <c r="CI63" s="496">
        <f t="shared" si="227"/>
        <v>0</v>
      </c>
      <c r="CU63" s="13">
        <f t="shared" si="237"/>
        <v>16</v>
      </c>
      <c r="CV63" s="13">
        <f t="shared" ref="CV63:CZ64" si="244">CV43</f>
        <v>17</v>
      </c>
      <c r="CW63" s="13" t="str">
        <f t="shared" si="244"/>
        <v>Simon Reitsma</v>
      </c>
      <c r="CX63" s="13" t="str">
        <f t="shared" si="244"/>
        <v/>
      </c>
      <c r="CY63" s="13" t="str">
        <f t="shared" si="244"/>
        <v/>
      </c>
      <c r="CZ63" s="13" t="str">
        <f t="shared" si="244"/>
        <v/>
      </c>
      <c r="DC63" s="13">
        <f t="shared" si="238"/>
        <v>0</v>
      </c>
      <c r="DD63" s="243">
        <f t="shared" si="229"/>
        <v>0</v>
      </c>
      <c r="DE63" s="236">
        <f t="shared" si="239"/>
        <v>0</v>
      </c>
      <c r="DF63" s="232">
        <f t="shared" si="230"/>
        <v>0</v>
      </c>
      <c r="DG63" s="234">
        <f t="shared" si="240"/>
        <v>0</v>
      </c>
      <c r="DH63" s="232">
        <f t="shared" si="231"/>
        <v>0</v>
      </c>
      <c r="DI63" s="41">
        <f t="shared" si="241"/>
        <v>0</v>
      </c>
      <c r="DJ63" s="271">
        <f t="shared" si="232"/>
        <v>0</v>
      </c>
      <c r="DK63" s="273">
        <f t="shared" si="233"/>
        <v>0</v>
      </c>
      <c r="DL63" s="281">
        <f t="shared" si="242"/>
        <v>0</v>
      </c>
      <c r="DM63" s="644">
        <f t="shared" si="243"/>
        <v>4.3000000000000001E-7</v>
      </c>
      <c r="DN63" s="285">
        <f t="shared" si="234"/>
        <v>0</v>
      </c>
      <c r="DO63" s="285">
        <f t="shared" si="235"/>
        <v>0</v>
      </c>
      <c r="DP63" s="285">
        <f t="shared" si="236"/>
        <v>4.3000000000000001E-7</v>
      </c>
      <c r="GW63" s="1145"/>
      <c r="GX63" s="231" t="str">
        <f>IF($AC$28="","",IF($JB$31=$GX$3,$JC$31,IF(AND($W$31=$GX$3,$AA$31&lt;&gt;""),$AA$31,IF(AND($W$31=$GX$3,$AA$31=""),$AB$31,""))))</f>
        <v/>
      </c>
      <c r="GY63" s="302">
        <v>29</v>
      </c>
      <c r="GZ63" s="303" t="str">
        <f t="shared" si="105"/>
        <v/>
      </c>
      <c r="HA63" s="98" t="str">
        <f t="shared" si="62"/>
        <v/>
      </c>
      <c r="HB63" s="303"/>
      <c r="HC63" s="98" t="str">
        <f t="shared" si="106"/>
        <v/>
      </c>
      <c r="HG63" s="1145"/>
      <c r="HH63" s="231" t="str">
        <f>IF($AC$28="","",IF($JB$31=$HH$3,$JC$31,IF(AND($W$31=$HH$3,$AA$31&lt;&gt;""),$AA$31,IF(AND($W$31=$HH$3,$AA$31=""),$AB$31,""))))</f>
        <v/>
      </c>
      <c r="HI63" s="302">
        <v>29</v>
      </c>
      <c r="HJ63" s="303" t="str">
        <f t="shared" si="107"/>
        <v/>
      </c>
      <c r="HK63" s="98" t="str">
        <f t="shared" si="63"/>
        <v/>
      </c>
      <c r="HL63" s="303"/>
      <c r="HM63" s="98" t="str">
        <f t="shared" si="64"/>
        <v/>
      </c>
      <c r="JJ63" s="1336"/>
      <c r="JK63" s="877">
        <v>29</v>
      </c>
      <c r="JL63" s="880" t="str">
        <f t="shared" si="108"/>
        <v/>
      </c>
      <c r="JM63" s="873" t="str">
        <f t="shared" si="196"/>
        <v/>
      </c>
      <c r="JN63" s="870" t="str">
        <f>IF($AC$28="","",IF(AND($S$31=JL$11,$U$31&lt;&gt;""),$U$31,IF(AND($S$31=JL$11,$AA$31&lt;&gt;""),$AA$31,IF($S$31=JL$11,$AB$31,""))))</f>
        <v/>
      </c>
      <c r="JO63" s="880" t="str">
        <f t="shared" si="109"/>
        <v/>
      </c>
      <c r="JP63" s="873" t="str">
        <f t="shared" si="197"/>
        <v/>
      </c>
      <c r="JQ63" s="870" t="str">
        <f>IF($AC$28="","",IF(AND($S$31=JO$11,$U$31&lt;&gt;""),$U$31,IF(AND($S$31=JO$11,$AA$31&lt;&gt;""),$AA$31,IF($S$31=JO$11,$AB$31,""))))</f>
        <v/>
      </c>
      <c r="JR63" s="880" t="str">
        <f t="shared" si="198"/>
        <v/>
      </c>
      <c r="JS63" s="873" t="str">
        <f t="shared" si="199"/>
        <v/>
      </c>
      <c r="JT63" s="870" t="str">
        <f>IF($AC$28="","",IF(AND($S$31=JR$11,$U$31&lt;&gt;""),$U$31,IF(AND($S$31=JR$11,$AA$31&lt;&gt;""),$AA$31,IF($S$31=JR$11,$AB$31,""))))</f>
        <v/>
      </c>
      <c r="JU63" s="880" t="str">
        <f t="shared" si="200"/>
        <v/>
      </c>
      <c r="JV63" s="873" t="str">
        <f t="shared" si="201"/>
        <v/>
      </c>
      <c r="JW63" s="870" t="str">
        <f>IF($AC$28="","",IF(AND($S$31=JU$11,$U$31&lt;&gt;""),$U$31,IF(AND($S$31=JU$11,$AA$31&lt;&gt;""),$AA$31,IF($S$31=JU$11,$AB$31,""))))</f>
        <v/>
      </c>
      <c r="JX63" s="880" t="str">
        <f t="shared" si="202"/>
        <v/>
      </c>
      <c r="JY63" s="873" t="str">
        <f t="shared" si="203"/>
        <v/>
      </c>
      <c r="JZ63" s="870" t="str">
        <f>IF($AC$28="","",IF(AND($S$31=JX$11,$U$31&lt;&gt;""),$U$31,IF(AND($S$31=JX$11,$AA$31&lt;&gt;""),$AA$31,IF($S$31=JX$11,$AB$31,""))))</f>
        <v/>
      </c>
      <c r="KA63" s="880" t="str">
        <f t="shared" si="204"/>
        <v/>
      </c>
      <c r="KB63" s="873" t="str">
        <f t="shared" si="205"/>
        <v/>
      </c>
      <c r="KC63" s="870" t="str">
        <f>IF($AC$28="","",IF(AND($S$31=KA$11,$U$31&lt;&gt;""),$U$31,IF(AND($S$31=KA$11,$AA$31&lt;&gt;""),$AA$31,IF($S$31=KA$11,$AB$31,""))))</f>
        <v/>
      </c>
      <c r="KD63" s="880" t="str">
        <f t="shared" si="206"/>
        <v/>
      </c>
      <c r="KE63" s="873" t="str">
        <f t="shared" si="207"/>
        <v/>
      </c>
      <c r="KF63" s="870" t="str">
        <f>IF($AC$28="","",IF(AND($S$31=KD$11,$U$31&lt;&gt;""),$U$31,IF(AND($S$31=KD$11,$AA$31&lt;&gt;""),$AA$31,IF($S$31=KD$11,$AB$31,""))))</f>
        <v/>
      </c>
      <c r="KG63" s="880" t="str">
        <f t="shared" si="208"/>
        <v/>
      </c>
      <c r="KH63" s="873" t="str">
        <f t="shared" si="209"/>
        <v/>
      </c>
      <c r="KI63" s="870" t="str">
        <f>IF($AC$28="","",IF(AND($S$31=KG$11,$U$31&lt;&gt;""),$U$31,IF(AND($S$31=KG$11,$AA$31&lt;&gt;""),$AA$31,IF($S$31=KG$11,$AB$31,""))))</f>
        <v/>
      </c>
      <c r="KJ63" s="880" t="str">
        <f t="shared" si="210"/>
        <v/>
      </c>
      <c r="KK63" s="873" t="str">
        <f t="shared" si="211"/>
        <v/>
      </c>
      <c r="KL63" s="870" t="str">
        <f>IF($AC$28="","",IF(AND($S$31=KJ$11,$U$31&lt;&gt;""),$U$31,IF(AND($S$31=KJ$11,$AA$31&lt;&gt;""),$AA$31,IF($S$31=KJ$11,$AB$31,""))))</f>
        <v/>
      </c>
      <c r="KM63" s="880" t="str">
        <f t="shared" si="212"/>
        <v/>
      </c>
      <c r="KN63" s="873" t="str">
        <f t="shared" si="213"/>
        <v/>
      </c>
      <c r="KO63" s="870" t="str">
        <f>IF($AC$28="","",IF(AND($S$31=KM$11,$U$31&lt;&gt;""),$U$31,IF(AND($S$31=KM$11,$AA$31&lt;&gt;""),$AA$31,IF($S$31=KM$11,$AB$31,""))))</f>
        <v/>
      </c>
      <c r="KP63" s="880" t="str">
        <f t="shared" si="214"/>
        <v/>
      </c>
      <c r="KQ63" s="873" t="str">
        <f t="shared" si="215"/>
        <v/>
      </c>
      <c r="KR63" s="870" t="str">
        <f>IF($AC$28="","",IF(AND($S$31=KP$11,$U$31&lt;&gt;""),$U$31,IF(AND($S$31=KP$11,$AA$31&lt;&gt;""),$AA$31,IF($S$31=KP$11,$AB$31,""))))</f>
        <v/>
      </c>
      <c r="KS63" s="880" t="str">
        <f t="shared" si="216"/>
        <v/>
      </c>
      <c r="KT63" s="873" t="str">
        <f t="shared" si="217"/>
        <v/>
      </c>
      <c r="KU63" s="870" t="str">
        <f>IF($AC$28="","",IF(AND($S$31=KS$11,$U$31&lt;&gt;""),$U$31,IF(AND($S$31=KS$11,$AA$31&lt;&gt;""),$AA$31,IF($S$31=KS$11,$AB$31,""))))</f>
        <v/>
      </c>
      <c r="KV63" s="880" t="str">
        <f t="shared" si="218"/>
        <v/>
      </c>
      <c r="KW63" s="873" t="str">
        <f t="shared" si="219"/>
        <v/>
      </c>
      <c r="KX63" s="870" t="str">
        <f>IF($AC$28="","",IF(AND($S$31=KV$11,$U$31&lt;&gt;""),$U$31,IF(AND($S$31=KV$11,$AA$31&lt;&gt;""),$AA$31,IF($S$31=KV$11,$AB$31,""))))</f>
        <v/>
      </c>
      <c r="KY63" s="880" t="str">
        <f t="shared" si="220"/>
        <v/>
      </c>
      <c r="KZ63" s="873" t="str">
        <f t="shared" si="221"/>
        <v/>
      </c>
      <c r="LA63" s="870" t="str">
        <f>IF($AC$28="","",IF(AND($S$31=KY$11,$U$31&lt;&gt;""),$U$31,IF(AND($S$31=KY$11,$AA$31&lt;&gt;""),$AA$31,IF($S$31=KY$11,$AB$31,""))))</f>
        <v/>
      </c>
      <c r="LB63" s="880" t="str">
        <f t="shared" si="222"/>
        <v/>
      </c>
      <c r="LC63" s="873" t="str">
        <f t="shared" si="223"/>
        <v/>
      </c>
      <c r="LD63" s="870" t="str">
        <f>IF($AC$28="","",IF(AND($S$31=LB$11,$U$31&lt;&gt;""),$U$31,IF(AND($S$31=LB$11,$AA$31&lt;&gt;""),$AA$31,IF($S$31=LB$11,$AB$31,""))))</f>
        <v/>
      </c>
      <c r="LE63" s="880" t="str">
        <f t="shared" si="224"/>
        <v/>
      </c>
      <c r="LF63" s="873" t="str">
        <f t="shared" si="225"/>
        <v/>
      </c>
      <c r="LG63" s="870" t="str">
        <f>IF($AC$28="","",IF(AND($S$31=LE$11,$U$31&lt;&gt;""),$U$31,IF(AND($S$31=LE$11,$AA$31&lt;&gt;""),$AA$31,IF($S$31=LE$11,$AB$31,""))))</f>
        <v/>
      </c>
      <c r="LH63"/>
      <c r="LI63"/>
      <c r="LJ63"/>
      <c r="LK63"/>
      <c r="LL63"/>
      <c r="LM63"/>
    </row>
    <row r="64" spans="4:325" ht="13.5" thickBot="1">
      <c r="D64" s="8"/>
      <c r="E64" s="8"/>
      <c r="F64" s="8"/>
      <c r="G64" s="8"/>
      <c r="H64" s="8"/>
      <c r="M64" s="8"/>
      <c r="N64" s="8"/>
      <c r="S64" s="8"/>
      <c r="T64" s="8"/>
      <c r="U64" s="8"/>
      <c r="V64" s="8"/>
      <c r="W64" s="8"/>
      <c r="AH64" s="8"/>
      <c r="AI64" s="8"/>
      <c r="AJ64" s="8"/>
      <c r="AK64" s="8"/>
      <c r="BJ64" s="8"/>
      <c r="CG64" s="762">
        <v>18</v>
      </c>
      <c r="CH64" s="770" t="str">
        <f t="shared" si="226"/>
        <v>Daniel Henderson</v>
      </c>
      <c r="CI64" s="496">
        <f t="shared" si="227"/>
        <v>0</v>
      </c>
      <c r="CU64" s="13">
        <f t="shared" si="237"/>
        <v>17</v>
      </c>
      <c r="CV64" s="13">
        <f t="shared" si="244"/>
        <v>18</v>
      </c>
      <c r="CW64" s="13" t="str">
        <f t="shared" si="244"/>
        <v>Max Niedermaier</v>
      </c>
      <c r="CX64" s="13" t="str">
        <f t="shared" si="244"/>
        <v/>
      </c>
      <c r="CY64" s="13" t="str">
        <f t="shared" si="244"/>
        <v/>
      </c>
      <c r="CZ64" s="13" t="str">
        <f t="shared" si="244"/>
        <v/>
      </c>
      <c r="DC64" s="13">
        <f t="shared" si="238"/>
        <v>0</v>
      </c>
      <c r="DD64" s="61">
        <f t="shared" si="229"/>
        <v>0</v>
      </c>
      <c r="DE64" s="237">
        <f t="shared" si="239"/>
        <v>0</v>
      </c>
      <c r="DF64" s="233">
        <f t="shared" si="230"/>
        <v>0</v>
      </c>
      <c r="DG64" s="235">
        <f t="shared" si="240"/>
        <v>0</v>
      </c>
      <c r="DH64" s="233">
        <f t="shared" si="231"/>
        <v>0</v>
      </c>
      <c r="DI64" s="241">
        <f t="shared" si="241"/>
        <v>0</v>
      </c>
      <c r="DJ64" s="272">
        <f t="shared" si="232"/>
        <v>0</v>
      </c>
      <c r="DK64" s="274">
        <f t="shared" si="233"/>
        <v>0</v>
      </c>
      <c r="DL64" s="282">
        <f t="shared" si="242"/>
        <v>0</v>
      </c>
      <c r="DM64" s="645">
        <f t="shared" si="243"/>
        <v>4.2E-7</v>
      </c>
      <c r="DN64" s="286">
        <f t="shared" si="234"/>
        <v>0</v>
      </c>
      <c r="DO64" s="286">
        <f t="shared" si="235"/>
        <v>0</v>
      </c>
      <c r="DP64" s="286">
        <f t="shared" si="236"/>
        <v>4.2E-7</v>
      </c>
      <c r="GW64" s="1143">
        <v>14</v>
      </c>
      <c r="GX64" s="229" t="str">
        <f>IF($AC$32="","",IF($JB$32=$GX$3,$JC$32,IF(AND($W$32=$GX$3,$AA$32&lt;&gt;""),$AA$32,IF(AND($W$32=$GX$3,$AA$32=""),$AB$32,""))))</f>
        <v/>
      </c>
      <c r="GY64" s="299">
        <v>28</v>
      </c>
      <c r="GZ64" s="300" t="str">
        <f t="shared" si="105"/>
        <v/>
      </c>
      <c r="HA64" s="93" t="str">
        <f t="shared" si="62"/>
        <v/>
      </c>
      <c r="HB64" s="300"/>
      <c r="HC64" s="93" t="str">
        <f t="shared" si="106"/>
        <v/>
      </c>
      <c r="HG64" s="1143">
        <v>14</v>
      </c>
      <c r="HH64" s="229" t="str">
        <f>IF($AC$32="","",IF($JB$32=$HH$3,$JC$32,IF(AND($W$32=$HH$3,$AA$32&lt;&gt;""),$AA$32,IF(AND($W$32=$HH$3,$AA$32=""),$AB$32,""))))</f>
        <v/>
      </c>
      <c r="HI64" s="299">
        <v>28</v>
      </c>
      <c r="HJ64" s="300" t="str">
        <f t="shared" si="107"/>
        <v/>
      </c>
      <c r="HK64" s="93" t="str">
        <f t="shared" si="63"/>
        <v/>
      </c>
      <c r="HL64" s="300"/>
      <c r="HM64" s="93" t="str">
        <f t="shared" si="64"/>
        <v/>
      </c>
      <c r="JJ64" s="1334">
        <v>14</v>
      </c>
      <c r="JK64" s="875">
        <v>28</v>
      </c>
      <c r="JL64" s="878" t="str">
        <f t="shared" si="108"/>
        <v/>
      </c>
      <c r="JM64" s="871" t="str">
        <f t="shared" si="196"/>
        <v/>
      </c>
      <c r="JN64" s="868" t="str">
        <f>IF($AC$32="","",IF(AND($S$32=JL$11,$U$32&lt;&gt;""),$U$32,IF(AND($S$32=JL$11,$AA$32&lt;&gt;""),$AA$32,IF($S$32=JL$11,$AB$32,""))))</f>
        <v/>
      </c>
      <c r="JO64" s="878" t="str">
        <f t="shared" si="109"/>
        <v/>
      </c>
      <c r="JP64" s="871" t="str">
        <f t="shared" si="197"/>
        <v/>
      </c>
      <c r="JQ64" s="868" t="str">
        <f>IF($AC$32="","",IF(AND($S$32=JO$11,$U$32&lt;&gt;""),$U$32,IF(AND($S$32=JO$11,$AA$32&lt;&gt;""),$AA$32,IF($S$32=JO$11,$AB$32,""))))</f>
        <v/>
      </c>
      <c r="JR64" s="878" t="str">
        <f t="shared" si="198"/>
        <v/>
      </c>
      <c r="JS64" s="871" t="str">
        <f t="shared" si="199"/>
        <v/>
      </c>
      <c r="JT64" s="868" t="str">
        <f>IF($AC$32="","",IF(AND($S$32=JR$11,$U$32&lt;&gt;""),$U$32,IF(AND($S$32=JR$11,$AA$32&lt;&gt;""),$AA$32,IF($S$32=JR$11,$AB$32,""))))</f>
        <v/>
      </c>
      <c r="JU64" s="878" t="str">
        <f t="shared" si="200"/>
        <v/>
      </c>
      <c r="JV64" s="871" t="str">
        <f t="shared" si="201"/>
        <v/>
      </c>
      <c r="JW64" s="868" t="str">
        <f>IF($AC$32="","",IF(AND($S$32=JU$11,$U$32&lt;&gt;""),$U$32,IF(AND($S$32=JU$11,$AA$32&lt;&gt;""),$AA$32,IF($S$32=JU$11,$AB$32,""))))</f>
        <v/>
      </c>
      <c r="JX64" s="878" t="str">
        <f t="shared" si="202"/>
        <v/>
      </c>
      <c r="JY64" s="871" t="str">
        <f t="shared" si="203"/>
        <v/>
      </c>
      <c r="JZ64" s="868" t="str">
        <f>IF($AC$32="","",IF(AND($S$32=JX$11,$U$32&lt;&gt;""),$U$32,IF(AND($S$32=JX$11,$AA$32&lt;&gt;""),$AA$32,IF($S$32=JX$11,$AB$32,""))))</f>
        <v/>
      </c>
      <c r="KA64" s="878" t="str">
        <f t="shared" si="204"/>
        <v/>
      </c>
      <c r="KB64" s="871" t="str">
        <f t="shared" si="205"/>
        <v/>
      </c>
      <c r="KC64" s="868" t="str">
        <f>IF($AC$32="","",IF(AND($S$32=KA$11,$U$32&lt;&gt;""),$U$32,IF(AND($S$32=KA$11,$AA$32&lt;&gt;""),$AA$32,IF($S$32=KA$11,$AB$32,""))))</f>
        <v/>
      </c>
      <c r="KD64" s="878" t="str">
        <f t="shared" si="206"/>
        <v/>
      </c>
      <c r="KE64" s="871" t="str">
        <f t="shared" si="207"/>
        <v/>
      </c>
      <c r="KF64" s="868" t="str">
        <f>IF($AC$32="","",IF(AND($S$32=KD$11,$U$32&lt;&gt;""),$U$32,IF(AND($S$32=KD$11,$AA$32&lt;&gt;""),$AA$32,IF($S$32=KD$11,$AB$32,""))))</f>
        <v/>
      </c>
      <c r="KG64" s="878" t="str">
        <f t="shared" si="208"/>
        <v/>
      </c>
      <c r="KH64" s="871" t="str">
        <f t="shared" si="209"/>
        <v/>
      </c>
      <c r="KI64" s="868" t="str">
        <f>IF($AC$32="","",IF(AND($S$32=KG$11,$U$32&lt;&gt;""),$U$32,IF(AND($S$32=KG$11,$AA$32&lt;&gt;""),$AA$32,IF($S$32=KG$11,$AB$32,""))))</f>
        <v/>
      </c>
      <c r="KJ64" s="878" t="str">
        <f t="shared" si="210"/>
        <v/>
      </c>
      <c r="KK64" s="871" t="str">
        <f t="shared" si="211"/>
        <v/>
      </c>
      <c r="KL64" s="868" t="str">
        <f>IF($AC$32="","",IF(AND($S$32=KJ$11,$U$32&lt;&gt;""),$U$32,IF(AND($S$32=KJ$11,$AA$32&lt;&gt;""),$AA$32,IF($S$32=KJ$11,$AB$32,""))))</f>
        <v/>
      </c>
      <c r="KM64" s="878" t="str">
        <f t="shared" si="212"/>
        <v/>
      </c>
      <c r="KN64" s="871" t="str">
        <f t="shared" si="213"/>
        <v/>
      </c>
      <c r="KO64" s="868" t="str">
        <f>IF($AC$32="","",IF(AND($S$32=KM$11,$U$32&lt;&gt;""),$U$32,IF(AND($S$32=KM$11,$AA$32&lt;&gt;""),$AA$32,IF($S$32=KM$11,$AB$32,""))))</f>
        <v/>
      </c>
      <c r="KP64" s="878" t="str">
        <f t="shared" si="214"/>
        <v/>
      </c>
      <c r="KQ64" s="871" t="str">
        <f t="shared" si="215"/>
        <v/>
      </c>
      <c r="KR64" s="868" t="str">
        <f>IF($AC$32="","",IF(AND($S$32=KP$11,$U$32&lt;&gt;""),$U$32,IF(AND($S$32=KP$11,$AA$32&lt;&gt;""),$AA$32,IF($S$32=KP$11,$AB$32,""))))</f>
        <v/>
      </c>
      <c r="KS64" s="878" t="str">
        <f t="shared" si="216"/>
        <v/>
      </c>
      <c r="KT64" s="871" t="str">
        <f t="shared" si="217"/>
        <v/>
      </c>
      <c r="KU64" s="868" t="str">
        <f>IF($AC$32="","",IF(AND($S$32=KS$11,$U$32&lt;&gt;""),$U$32,IF(AND($S$32=KS$11,$AA$32&lt;&gt;""),$AA$32,IF($S$32=KS$11,$AB$32,""))))</f>
        <v/>
      </c>
      <c r="KV64" s="878" t="str">
        <f t="shared" si="218"/>
        <v/>
      </c>
      <c r="KW64" s="871" t="str">
        <f t="shared" si="219"/>
        <v/>
      </c>
      <c r="KX64" s="868" t="str">
        <f>IF($AC$32="","",IF(AND($S$32=KV$11,$U$32&lt;&gt;""),$U$32,IF(AND($S$32=KV$11,$AA$32&lt;&gt;""),$AA$32,IF($S$32=KV$11,$AB$32,""))))</f>
        <v/>
      </c>
      <c r="KY64" s="878" t="str">
        <f t="shared" si="220"/>
        <v/>
      </c>
      <c r="KZ64" s="871" t="str">
        <f t="shared" si="221"/>
        <v/>
      </c>
      <c r="LA64" s="868" t="str">
        <f>IF($AC$32="","",IF(AND($S$32=KY$11,$U$32&lt;&gt;""),$U$32,IF(AND($S$32=KY$11,$AA$32&lt;&gt;""),$AA$32,IF($S$32=KY$11,$AB$32,""))))</f>
        <v/>
      </c>
      <c r="LB64" s="878" t="str">
        <f t="shared" si="222"/>
        <v/>
      </c>
      <c r="LC64" s="871" t="str">
        <f t="shared" si="223"/>
        <v/>
      </c>
      <c r="LD64" s="868" t="str">
        <f>IF($AC$32="","",IF(AND($S$32=LB$11,$U$32&lt;&gt;""),$U$32,IF(AND($S$32=LB$11,$AA$32&lt;&gt;""),$AA$32,IF($S$32=LB$11,$AB$32,""))))</f>
        <v/>
      </c>
      <c r="LE64" s="878" t="str">
        <f t="shared" si="224"/>
        <v/>
      </c>
      <c r="LF64" s="871" t="str">
        <f t="shared" si="225"/>
        <v/>
      </c>
      <c r="LG64" s="868" t="str">
        <f>IF($AC$32="","",IF(AND($S$32=LE$11,$U$32&lt;&gt;""),$U$32,IF(AND($S$32=LE$11,$AA$32&lt;&gt;""),$AA$32,IF($S$32=LE$11,$AB$32,""))))</f>
        <v/>
      </c>
      <c r="LH64"/>
      <c r="LI64"/>
      <c r="LJ64"/>
      <c r="LK64"/>
      <c r="LL64"/>
      <c r="LM64"/>
    </row>
    <row r="65" spans="4:325">
      <c r="D65" s="8"/>
      <c r="E65" s="8"/>
      <c r="F65" s="8"/>
      <c r="G65" s="8"/>
      <c r="H65" s="8"/>
      <c r="M65" s="8"/>
      <c r="N65" s="8"/>
      <c r="S65" s="8"/>
      <c r="T65" s="8"/>
      <c r="U65" s="8"/>
      <c r="V65" s="8"/>
      <c r="W65" s="8"/>
      <c r="AH65" s="8"/>
      <c r="AI65" s="8"/>
      <c r="AJ65" s="8"/>
      <c r="AK65" s="8"/>
      <c r="BJ65" s="8"/>
      <c r="BY65" s="8"/>
      <c r="BZ65" s="8"/>
      <c r="CC65" s="8"/>
      <c r="CD65" s="8"/>
      <c r="CE65" s="8"/>
      <c r="CF65" s="8"/>
      <c r="EZ65" s="1187" t="s">
        <v>156</v>
      </c>
      <c r="FA65" s="1188"/>
      <c r="FB65" s="1188"/>
      <c r="FC65" s="1188"/>
      <c r="FD65" s="1188"/>
      <c r="FE65" s="1188"/>
      <c r="FF65" s="1189"/>
      <c r="GW65" s="1144"/>
      <c r="GX65" s="230" t="str">
        <f>IF($AC$32="","",IF($JB$33=$GX$3,$JC$33,IF(AND($W$33=$GX$3,$AA$33&lt;&gt;""),$AA$33,IF(AND($W$33=$GX$3,$AA$33=""),$AB$33,""))))</f>
        <v/>
      </c>
      <c r="GY65" s="301">
        <v>27</v>
      </c>
      <c r="GZ65" s="5" t="str">
        <f t="shared" si="105"/>
        <v/>
      </c>
      <c r="HA65" s="95" t="str">
        <f t="shared" si="62"/>
        <v/>
      </c>
      <c r="HB65" s="5"/>
      <c r="HC65" s="95" t="str">
        <f t="shared" si="106"/>
        <v/>
      </c>
      <c r="HG65" s="1144"/>
      <c r="HH65" s="230" t="str">
        <f>IF($AC$32="","",IF($JB$33=$HH$3,$JC$33,IF(AND($W$33=$HH$3,$AA$33&lt;&gt;""),$AA$33,IF(AND($W$33=$HH$3,$AA$33=""),$AB$33,""))))</f>
        <v/>
      </c>
      <c r="HI65" s="301">
        <v>27</v>
      </c>
      <c r="HJ65" s="5" t="str">
        <f t="shared" si="107"/>
        <v/>
      </c>
      <c r="HK65" s="95" t="str">
        <f t="shared" si="63"/>
        <v/>
      </c>
      <c r="HL65" s="5"/>
      <c r="HM65" s="95" t="str">
        <f t="shared" si="64"/>
        <v/>
      </c>
      <c r="JJ65" s="1335"/>
      <c r="JK65" s="876">
        <v>27</v>
      </c>
      <c r="JL65" s="879" t="str">
        <f t="shared" si="108"/>
        <v/>
      </c>
      <c r="JM65" s="662" t="str">
        <f t="shared" si="196"/>
        <v/>
      </c>
      <c r="JN65" s="869" t="str">
        <f>IF($AC$32="","",IF(AND($S$33=JL$11,$U$33&lt;&gt;""),$U$33,IF(AND($S$33=JL$11,$AA$33&lt;&gt;""),$AA$33,IF($S$33=JL$11,$AB$33,""))))</f>
        <v/>
      </c>
      <c r="JO65" s="879" t="str">
        <f t="shared" si="109"/>
        <v/>
      </c>
      <c r="JP65" s="662" t="str">
        <f t="shared" si="197"/>
        <v/>
      </c>
      <c r="JQ65" s="869" t="str">
        <f>IF($AC$32="","",IF(AND($S$33=JO$11,$U$33&lt;&gt;""),$U$33,IF(AND($S$33=JO$11,$AA$33&lt;&gt;""),$AA$33,IF($S$33=JO$11,$AB$33,""))))</f>
        <v/>
      </c>
      <c r="JR65" s="879" t="str">
        <f t="shared" si="198"/>
        <v/>
      </c>
      <c r="JS65" s="662" t="str">
        <f t="shared" si="199"/>
        <v/>
      </c>
      <c r="JT65" s="869" t="str">
        <f>IF($AC$32="","",IF(AND($S$33=JR$11,$U$33&lt;&gt;""),$U$33,IF(AND($S$33=JR$11,$AA$33&lt;&gt;""),$AA$33,IF($S$33=JR$11,$AB$33,""))))</f>
        <v/>
      </c>
      <c r="JU65" s="879" t="str">
        <f t="shared" si="200"/>
        <v/>
      </c>
      <c r="JV65" s="662" t="str">
        <f t="shared" si="201"/>
        <v/>
      </c>
      <c r="JW65" s="869" t="str">
        <f>IF($AC$32="","",IF(AND($S$33=JU$11,$U$33&lt;&gt;""),$U$33,IF(AND($S$33=JU$11,$AA$33&lt;&gt;""),$AA$33,IF($S$33=JU$11,$AB$33,""))))</f>
        <v/>
      </c>
      <c r="JX65" s="879" t="str">
        <f t="shared" si="202"/>
        <v/>
      </c>
      <c r="JY65" s="662" t="str">
        <f t="shared" si="203"/>
        <v/>
      </c>
      <c r="JZ65" s="869" t="str">
        <f>IF($AC$32="","",IF(AND($S$33=JX$11,$U$33&lt;&gt;""),$U$33,IF(AND($S$33=JX$11,$AA$33&lt;&gt;""),$AA$33,IF($S$33=JX$11,$AB$33,""))))</f>
        <v/>
      </c>
      <c r="KA65" s="879" t="str">
        <f t="shared" si="204"/>
        <v/>
      </c>
      <c r="KB65" s="662" t="str">
        <f t="shared" si="205"/>
        <v/>
      </c>
      <c r="KC65" s="869" t="str">
        <f>IF($AC$32="","",IF(AND($S$33=KA$11,$U$33&lt;&gt;""),$U$33,IF(AND($S$33=KA$11,$AA$33&lt;&gt;""),$AA$33,IF($S$33=KA$11,$AB$33,""))))</f>
        <v/>
      </c>
      <c r="KD65" s="879" t="str">
        <f t="shared" si="206"/>
        <v/>
      </c>
      <c r="KE65" s="662" t="str">
        <f t="shared" si="207"/>
        <v/>
      </c>
      <c r="KF65" s="869" t="str">
        <f>IF($AC$32="","",IF(AND($S$33=KD$11,$U$33&lt;&gt;""),$U$33,IF(AND($S$33=KD$11,$AA$33&lt;&gt;""),$AA$33,IF($S$33=KD$11,$AB$33,""))))</f>
        <v/>
      </c>
      <c r="KG65" s="879" t="str">
        <f t="shared" si="208"/>
        <v/>
      </c>
      <c r="KH65" s="662" t="str">
        <f t="shared" si="209"/>
        <v/>
      </c>
      <c r="KI65" s="869" t="str">
        <f>IF($AC$32="","",IF(AND($S$33=KG$11,$U$33&lt;&gt;""),$U$33,IF(AND($S$33=KG$11,$AA$33&lt;&gt;""),$AA$33,IF($S$33=KG$11,$AB$33,""))))</f>
        <v/>
      </c>
      <c r="KJ65" s="879" t="str">
        <f t="shared" si="210"/>
        <v/>
      </c>
      <c r="KK65" s="662" t="str">
        <f t="shared" si="211"/>
        <v/>
      </c>
      <c r="KL65" s="869" t="str">
        <f>IF($AC$32="","",IF(AND($S$33=KJ$11,$U$33&lt;&gt;""),$U$33,IF(AND($S$33=KJ$11,$AA$33&lt;&gt;""),$AA$33,IF($S$33=KJ$11,$AB$33,""))))</f>
        <v/>
      </c>
      <c r="KM65" s="879" t="str">
        <f t="shared" si="212"/>
        <v/>
      </c>
      <c r="KN65" s="662" t="str">
        <f t="shared" si="213"/>
        <v/>
      </c>
      <c r="KO65" s="869" t="str">
        <f>IF($AC$32="","",IF(AND($S$33=KM$11,$U$33&lt;&gt;""),$U$33,IF(AND($S$33=KM$11,$AA$33&lt;&gt;""),$AA$33,IF($S$33=KM$11,$AB$33,""))))</f>
        <v/>
      </c>
      <c r="KP65" s="879" t="str">
        <f t="shared" si="214"/>
        <v/>
      </c>
      <c r="KQ65" s="662" t="str">
        <f t="shared" si="215"/>
        <v/>
      </c>
      <c r="KR65" s="869" t="str">
        <f>IF($AC$32="","",IF(AND($S$33=KP$11,$U$33&lt;&gt;""),$U$33,IF(AND($S$33=KP$11,$AA$33&lt;&gt;""),$AA$33,IF($S$33=KP$11,$AB$33,""))))</f>
        <v/>
      </c>
      <c r="KS65" s="879" t="str">
        <f t="shared" si="216"/>
        <v/>
      </c>
      <c r="KT65" s="662" t="str">
        <f t="shared" si="217"/>
        <v/>
      </c>
      <c r="KU65" s="869" t="str">
        <f>IF($AC$32="","",IF(AND($S$33=KS$11,$U$33&lt;&gt;""),$U$33,IF(AND($S$33=KS$11,$AA$33&lt;&gt;""),$AA$33,IF($S$33=KS$11,$AB$33,""))))</f>
        <v/>
      </c>
      <c r="KV65" s="879" t="str">
        <f t="shared" si="218"/>
        <v/>
      </c>
      <c r="KW65" s="662" t="str">
        <f t="shared" si="219"/>
        <v/>
      </c>
      <c r="KX65" s="869" t="str">
        <f>IF($AC$32="","",IF(AND($S$33=KV$11,$U$33&lt;&gt;""),$U$33,IF(AND($S$33=KV$11,$AA$33&lt;&gt;""),$AA$33,IF($S$33=KV$11,$AB$33,""))))</f>
        <v/>
      </c>
      <c r="KY65" s="879" t="str">
        <f t="shared" si="220"/>
        <v/>
      </c>
      <c r="KZ65" s="662" t="str">
        <f t="shared" si="221"/>
        <v/>
      </c>
      <c r="LA65" s="869" t="str">
        <f>IF($AC$32="","",IF(AND($S$33=KY$11,$U$33&lt;&gt;""),$U$33,IF(AND($S$33=KY$11,$AA$33&lt;&gt;""),$AA$33,IF($S$33=KY$11,$AB$33,""))))</f>
        <v/>
      </c>
      <c r="LB65" s="879" t="str">
        <f t="shared" si="222"/>
        <v/>
      </c>
      <c r="LC65" s="662" t="str">
        <f t="shared" si="223"/>
        <v/>
      </c>
      <c r="LD65" s="869" t="str">
        <f>IF($AC$32="","",IF(AND($S$33=LB$11,$U$33&lt;&gt;""),$U$33,IF(AND($S$33=LB$11,$AA$33&lt;&gt;""),$AA$33,IF($S$33=LB$11,$AB$33,""))))</f>
        <v/>
      </c>
      <c r="LE65" s="879" t="str">
        <f t="shared" si="224"/>
        <v/>
      </c>
      <c r="LF65" s="662" t="str">
        <f t="shared" si="225"/>
        <v/>
      </c>
      <c r="LG65" s="869" t="str">
        <f>IF($AC$32="","",IF(AND($S$33=LE$11,$U$33&lt;&gt;""),$U$33,IF(AND($S$33=LE$11,$AA$33&lt;&gt;""),$AA$33,IF($S$33=LE$11,$AB$33,""))))</f>
        <v/>
      </c>
      <c r="LH65"/>
      <c r="LI65"/>
      <c r="LJ65"/>
      <c r="LK65"/>
      <c r="LL65"/>
      <c r="LM65"/>
    </row>
    <row r="66" spans="4:325">
      <c r="D66" s="8"/>
      <c r="E66" s="8"/>
      <c r="F66" s="8"/>
      <c r="G66" s="8"/>
      <c r="H66" s="8"/>
      <c r="M66" s="8"/>
      <c r="N66" s="8"/>
      <c r="S66" s="8"/>
      <c r="T66" s="8"/>
      <c r="U66" s="8"/>
      <c r="V66" s="8"/>
      <c r="W66" s="8"/>
      <c r="AH66" s="8"/>
      <c r="AI66" s="8"/>
      <c r="AJ66" s="8"/>
      <c r="AK66" s="8"/>
      <c r="BJ66" s="8"/>
      <c r="BY66" s="8"/>
      <c r="BZ66" s="8"/>
      <c r="CC66" s="8"/>
      <c r="CD66" s="8"/>
      <c r="CE66" s="8"/>
      <c r="CF66" s="8"/>
      <c r="CG66" s="1187" t="s">
        <v>191</v>
      </c>
      <c r="CH66" s="1188"/>
      <c r="CI66" s="1189"/>
      <c r="EZ66" s="13">
        <f t="shared" ref="EZ66:EZ83" si="245">RANK(FD66,FD$66:FD$83)</f>
        <v>9</v>
      </c>
      <c r="FA66" s="497">
        <f t="shared" ref="FA66:FA83" si="246">FK3</f>
        <v>9</v>
      </c>
      <c r="FB66" s="498" t="str">
        <f t="shared" ref="FB66:FB83" si="247">FB3</f>
        <v>Per-Anders Lindstrom</v>
      </c>
      <c r="FC66" s="573">
        <f t="shared" ref="FC66:FC83" si="248">IF($AR$36="",DC3,(SUM(DC3+FC3+FD3)))</f>
        <v>0</v>
      </c>
      <c r="FD66" s="600">
        <f t="shared" ref="FD66:FD83" si="249">FJ3</f>
        <v>5.0999999999999999E-7</v>
      </c>
      <c r="GW66" s="1144"/>
      <c r="GX66" s="230" t="str">
        <f>IF($AC$32="","",IF($JB$34=$GX$3,$JC$34,IF(AND($W$34=$GX$3,$AA$34&lt;&gt;""),$AA$34,IF(AND($W$34=$GX$3,$AA$34=""),$AB$34,""))))</f>
        <v/>
      </c>
      <c r="GY66" s="301">
        <v>26</v>
      </c>
      <c r="GZ66" s="5" t="str">
        <f t="shared" si="105"/>
        <v/>
      </c>
      <c r="HA66" s="95" t="str">
        <f t="shared" si="62"/>
        <v/>
      </c>
      <c r="HB66" s="5"/>
      <c r="HC66" s="95" t="str">
        <f t="shared" si="106"/>
        <v/>
      </c>
      <c r="HG66" s="1144"/>
      <c r="HH66" s="230" t="str">
        <f>IF($AC$32="","",IF($JB$34=$HH$3,$JC$34,IF(AND($W$34=$HH$3,$AA$34&lt;&gt;""),$AA$34,IF(AND($W$34=$HH$3,$AA$34=""),$AB$34,""))))</f>
        <v/>
      </c>
      <c r="HI66" s="301">
        <v>26</v>
      </c>
      <c r="HJ66" s="5" t="str">
        <f t="shared" si="107"/>
        <v/>
      </c>
      <c r="HK66" s="95" t="str">
        <f t="shared" si="63"/>
        <v/>
      </c>
      <c r="HL66" s="5"/>
      <c r="HM66" s="95" t="str">
        <f t="shared" si="64"/>
        <v/>
      </c>
      <c r="JJ66" s="1335"/>
      <c r="JK66" s="876">
        <v>26</v>
      </c>
      <c r="JL66" s="879" t="str">
        <f t="shared" si="108"/>
        <v/>
      </c>
      <c r="JM66" s="662" t="str">
        <f t="shared" si="196"/>
        <v/>
      </c>
      <c r="JN66" s="869" t="str">
        <f>IF($AC$32="","",IF(AND($S$34=JL$11,$U$34&lt;&gt;""),$U$34,IF(AND($S$34=JL$11,$AA$34&lt;&gt;""),$AA$34,IF($S$34=JL$11,$AB$34,""))))</f>
        <v/>
      </c>
      <c r="JO66" s="879" t="str">
        <f t="shared" si="109"/>
        <v/>
      </c>
      <c r="JP66" s="662" t="str">
        <f t="shared" si="197"/>
        <v/>
      </c>
      <c r="JQ66" s="869" t="str">
        <f>IF($AC$32="","",IF(AND($S$34=JO$11,$U$34&lt;&gt;""),$U$34,IF(AND($S$34=JO$11,$AA$34&lt;&gt;""),$AA$34,IF($S$34=JO$11,$AB$34,""))))</f>
        <v/>
      </c>
      <c r="JR66" s="879" t="str">
        <f t="shared" si="198"/>
        <v/>
      </c>
      <c r="JS66" s="662" t="str">
        <f t="shared" si="199"/>
        <v/>
      </c>
      <c r="JT66" s="869" t="str">
        <f>IF($AC$32="","",IF(AND($S$34=JR$11,$U$34&lt;&gt;""),$U$34,IF(AND($S$34=JR$11,$AA$34&lt;&gt;""),$AA$34,IF($S$34=JR$11,$AB$34,""))))</f>
        <v/>
      </c>
      <c r="JU66" s="879" t="str">
        <f t="shared" si="200"/>
        <v/>
      </c>
      <c r="JV66" s="662" t="str">
        <f t="shared" si="201"/>
        <v/>
      </c>
      <c r="JW66" s="869" t="str">
        <f>IF($AC$32="","",IF(AND($S$34=JU$11,$U$34&lt;&gt;""),$U$34,IF(AND($S$34=JU$11,$AA$34&lt;&gt;""),$AA$34,IF($S$34=JU$11,$AB$34,""))))</f>
        <v/>
      </c>
      <c r="JX66" s="879" t="str">
        <f t="shared" si="202"/>
        <v/>
      </c>
      <c r="JY66" s="662" t="str">
        <f t="shared" si="203"/>
        <v/>
      </c>
      <c r="JZ66" s="869" t="str">
        <f>IF($AC$32="","",IF(AND($S$34=JX$11,$U$34&lt;&gt;""),$U$34,IF(AND($S$34=JX$11,$AA$34&lt;&gt;""),$AA$34,IF($S$34=JX$11,$AB$34,""))))</f>
        <v/>
      </c>
      <c r="KA66" s="879" t="str">
        <f t="shared" si="204"/>
        <v/>
      </c>
      <c r="KB66" s="662" t="str">
        <f t="shared" si="205"/>
        <v/>
      </c>
      <c r="KC66" s="869" t="str">
        <f>IF($AC$32="","",IF(AND($S$34=KA$11,$U$34&lt;&gt;""),$U$34,IF(AND($S$34=KA$11,$AA$34&lt;&gt;""),$AA$34,IF($S$34=KA$11,$AB$34,""))))</f>
        <v/>
      </c>
      <c r="KD66" s="879" t="str">
        <f t="shared" si="206"/>
        <v/>
      </c>
      <c r="KE66" s="662" t="str">
        <f t="shared" si="207"/>
        <v/>
      </c>
      <c r="KF66" s="869" t="str">
        <f>IF($AC$32="","",IF(AND($S$34=KD$11,$U$34&lt;&gt;""),$U$34,IF(AND($S$34=KD$11,$AA$34&lt;&gt;""),$AA$34,IF($S$34=KD$11,$AB$34,""))))</f>
        <v/>
      </c>
      <c r="KG66" s="879" t="str">
        <f t="shared" si="208"/>
        <v/>
      </c>
      <c r="KH66" s="662" t="str">
        <f t="shared" si="209"/>
        <v/>
      </c>
      <c r="KI66" s="869" t="str">
        <f>IF($AC$32="","",IF(AND($S$34=KG$11,$U$34&lt;&gt;""),$U$34,IF(AND($S$34=KG$11,$AA$34&lt;&gt;""),$AA$34,IF($S$34=KG$11,$AB$34,""))))</f>
        <v/>
      </c>
      <c r="KJ66" s="879" t="str">
        <f t="shared" si="210"/>
        <v/>
      </c>
      <c r="KK66" s="662" t="str">
        <f t="shared" si="211"/>
        <v/>
      </c>
      <c r="KL66" s="869" t="str">
        <f>IF($AC$32="","",IF(AND($S$34=KJ$11,$U$34&lt;&gt;""),$U$34,IF(AND($S$34=KJ$11,$AA$34&lt;&gt;""),$AA$34,IF($S$34=KJ$11,$AB$34,""))))</f>
        <v/>
      </c>
      <c r="KM66" s="879" t="str">
        <f t="shared" si="212"/>
        <v/>
      </c>
      <c r="KN66" s="662" t="str">
        <f t="shared" si="213"/>
        <v/>
      </c>
      <c r="KO66" s="869" t="str">
        <f>IF($AC$32="","",IF(AND($S$34=KM$11,$U$34&lt;&gt;""),$U$34,IF(AND($S$34=KM$11,$AA$34&lt;&gt;""),$AA$34,IF($S$34=KM$11,$AB$34,""))))</f>
        <v/>
      </c>
      <c r="KP66" s="879" t="str">
        <f t="shared" si="214"/>
        <v/>
      </c>
      <c r="KQ66" s="662" t="str">
        <f t="shared" si="215"/>
        <v/>
      </c>
      <c r="KR66" s="869" t="str">
        <f>IF($AC$32="","",IF(AND($S$34=KP$11,$U$34&lt;&gt;""),$U$34,IF(AND($S$34=KP$11,$AA$34&lt;&gt;""),$AA$34,IF($S$34=KP$11,$AB$34,""))))</f>
        <v/>
      </c>
      <c r="KS66" s="879" t="str">
        <f t="shared" si="216"/>
        <v/>
      </c>
      <c r="KT66" s="662" t="str">
        <f t="shared" si="217"/>
        <v/>
      </c>
      <c r="KU66" s="869" t="str">
        <f>IF($AC$32="","",IF(AND($S$34=KS$11,$U$34&lt;&gt;""),$U$34,IF(AND($S$34=KS$11,$AA$34&lt;&gt;""),$AA$34,IF($S$34=KS$11,$AB$34,""))))</f>
        <v/>
      </c>
      <c r="KV66" s="879" t="str">
        <f t="shared" si="218"/>
        <v/>
      </c>
      <c r="KW66" s="662" t="str">
        <f t="shared" si="219"/>
        <v/>
      </c>
      <c r="KX66" s="869" t="str">
        <f>IF($AC$32="","",IF(AND($S$34=KV$11,$U$34&lt;&gt;""),$U$34,IF(AND($S$34=KV$11,$AA$34&lt;&gt;""),$AA$34,IF($S$34=KV$11,$AB$34,""))))</f>
        <v/>
      </c>
      <c r="KY66" s="879" t="str">
        <f t="shared" si="220"/>
        <v/>
      </c>
      <c r="KZ66" s="662" t="str">
        <f t="shared" si="221"/>
        <v/>
      </c>
      <c r="LA66" s="869" t="str">
        <f>IF($AC$32="","",IF(AND($S$34=KY$11,$U$34&lt;&gt;""),$U$34,IF(AND($S$34=KY$11,$AA$34&lt;&gt;""),$AA$34,IF($S$34=KY$11,$AB$34,""))))</f>
        <v/>
      </c>
      <c r="LB66" s="879" t="str">
        <f t="shared" si="222"/>
        <v/>
      </c>
      <c r="LC66" s="662" t="str">
        <f t="shared" si="223"/>
        <v/>
      </c>
      <c r="LD66" s="869" t="str">
        <f>IF($AC$32="","",IF(AND($S$34=LB$11,$U$34&lt;&gt;""),$U$34,IF(AND($S$34=LB$11,$AA$34&lt;&gt;""),$AA$34,IF($S$34=LB$11,$AB$34,""))))</f>
        <v/>
      </c>
      <c r="LE66" s="879" t="str">
        <f t="shared" si="224"/>
        <v/>
      </c>
      <c r="LF66" s="662" t="str">
        <f t="shared" si="225"/>
        <v/>
      </c>
      <c r="LG66" s="869" t="str">
        <f>IF($AC$32="","",IF(AND($S$34=LE$11,$U$34&lt;&gt;""),$U$34,IF(AND($S$34=LE$11,$AA$34&lt;&gt;""),$AA$34,IF($S$34=LE$11,$AB$34,""))))</f>
        <v/>
      </c>
      <c r="LH66"/>
      <c r="LI66"/>
      <c r="LJ66"/>
      <c r="LK66"/>
      <c r="LL66"/>
      <c r="LM66"/>
    </row>
    <row r="67" spans="4:325" ht="13.5" thickBot="1">
      <c r="D67" s="8"/>
      <c r="E67" s="8"/>
      <c r="F67" s="8"/>
      <c r="G67" s="8"/>
      <c r="H67" s="8"/>
      <c r="M67" s="8"/>
      <c r="N67" s="8"/>
      <c r="S67" s="8"/>
      <c r="T67" s="8"/>
      <c r="U67" s="8"/>
      <c r="V67" s="8"/>
      <c r="W67" s="8"/>
      <c r="AH67" s="8"/>
      <c r="AI67" s="8"/>
      <c r="AJ67" s="8"/>
      <c r="AK67" s="8"/>
      <c r="BJ67" s="8"/>
      <c r="BY67" s="8"/>
      <c r="BZ67" s="8"/>
      <c r="CC67" s="8"/>
      <c r="CD67" s="8"/>
      <c r="CE67" s="8"/>
      <c r="CF67" s="8"/>
      <c r="CG67" s="762">
        <v>1</v>
      </c>
      <c r="CH67" s="13" t="str">
        <f t="shared" ref="CH67:CH84" si="250">VLOOKUP($CG67,$FA$86:$FC$103,2,FALSE)</f>
        <v>Daniil Ivanov</v>
      </c>
      <c r="CI67" s="770">
        <f t="shared" ref="CI67:CI84" si="251">VLOOKUP($CG67,$FA$86:$FC$103,3,FALSE)</f>
        <v>0</v>
      </c>
      <c r="EZ67" s="13">
        <f t="shared" si="245"/>
        <v>3</v>
      </c>
      <c r="FA67" s="249">
        <f t="shared" si="246"/>
        <v>3</v>
      </c>
      <c r="FB67" s="486" t="str">
        <f t="shared" si="247"/>
        <v>Dimitry Khomitsevich</v>
      </c>
      <c r="FC67" s="574">
        <f t="shared" si="248"/>
        <v>0</v>
      </c>
      <c r="FD67" s="600">
        <f t="shared" si="249"/>
        <v>5.7000000000000005E-7</v>
      </c>
      <c r="GW67" s="1145"/>
      <c r="GX67" s="231" t="str">
        <f>IF($AC$32="","",IF($JB$35=$GX$3,$JC$35,IF(AND($W$35=$GX$3,$AA$35&lt;&gt;""),$AA$35,IF(AND($W$35=$GX$3,$AA$35=""),$AB$35,""))))</f>
        <v/>
      </c>
      <c r="GY67" s="302">
        <v>25</v>
      </c>
      <c r="GZ67" s="303" t="str">
        <f t="shared" si="105"/>
        <v/>
      </c>
      <c r="HA67" s="98" t="str">
        <f t="shared" si="62"/>
        <v/>
      </c>
      <c r="HB67" s="303"/>
      <c r="HC67" s="98" t="str">
        <f t="shared" si="106"/>
        <v/>
      </c>
      <c r="HG67" s="1145"/>
      <c r="HH67" s="231" t="str">
        <f>IF($AC$32="","",IF($JB$35=$HH$3,$JC$35,IF(AND($W$35=$HH$3,$AA$35&lt;&gt;""),$AA$35,IF(AND($W$35=$HH$3,$AA$35=""),$AB$35,""))))</f>
        <v/>
      </c>
      <c r="HI67" s="302">
        <v>25</v>
      </c>
      <c r="HJ67" s="303" t="str">
        <f t="shared" si="107"/>
        <v/>
      </c>
      <c r="HK67" s="98" t="str">
        <f t="shared" si="63"/>
        <v/>
      </c>
      <c r="HL67" s="303"/>
      <c r="HM67" s="98" t="str">
        <f t="shared" si="64"/>
        <v/>
      </c>
      <c r="JJ67" s="1336"/>
      <c r="JK67" s="877">
        <v>25</v>
      </c>
      <c r="JL67" s="880" t="str">
        <f t="shared" si="108"/>
        <v/>
      </c>
      <c r="JM67" s="873" t="str">
        <f t="shared" si="196"/>
        <v/>
      </c>
      <c r="JN67" s="870" t="str">
        <f>IF($AC$32="","",IF(AND($S$35=JL$11,$U$35&lt;&gt;""),$U$35,IF(AND($S$35=JL$11,$AA$35&lt;&gt;""),$AA$35,IF($S$35=JL$11,$AB$35,""))))</f>
        <v/>
      </c>
      <c r="JO67" s="880" t="str">
        <f t="shared" si="109"/>
        <v/>
      </c>
      <c r="JP67" s="873" t="str">
        <f t="shared" si="197"/>
        <v/>
      </c>
      <c r="JQ67" s="870" t="str">
        <f>IF($AC$32="","",IF(AND($S$35=JO$11,$U$35&lt;&gt;""),$U$35,IF(AND($S$35=JO$11,$AA$35&lt;&gt;""),$AA$35,IF($S$35=JO$11,$AB$35,""))))</f>
        <v/>
      </c>
      <c r="JR67" s="880" t="str">
        <f t="shared" si="198"/>
        <v/>
      </c>
      <c r="JS67" s="873" t="str">
        <f t="shared" si="199"/>
        <v/>
      </c>
      <c r="JT67" s="870" t="str">
        <f>IF($AC$32="","",IF(AND($S$35=JR$11,$U$35&lt;&gt;""),$U$35,IF(AND($S$35=JR$11,$AA$35&lt;&gt;""),$AA$35,IF($S$35=JR$11,$AB$35,""))))</f>
        <v/>
      </c>
      <c r="JU67" s="880" t="str">
        <f t="shared" si="200"/>
        <v/>
      </c>
      <c r="JV67" s="873" t="str">
        <f t="shared" si="201"/>
        <v/>
      </c>
      <c r="JW67" s="870" t="str">
        <f>IF($AC$32="","",IF(AND($S$35=JU$11,$U$35&lt;&gt;""),$U$35,IF(AND($S$35=JU$11,$AA$35&lt;&gt;""),$AA$35,IF($S$35=JU$11,$AB$35,""))))</f>
        <v/>
      </c>
      <c r="JX67" s="880" t="str">
        <f t="shared" si="202"/>
        <v/>
      </c>
      <c r="JY67" s="873" t="str">
        <f t="shared" si="203"/>
        <v/>
      </c>
      <c r="JZ67" s="870" t="str">
        <f>IF($AC$32="","",IF(AND($S$35=JX$11,$U$35&lt;&gt;""),$U$35,IF(AND($S$35=JX$11,$AA$35&lt;&gt;""),$AA$35,IF($S$35=JX$11,$AB$35,""))))</f>
        <v/>
      </c>
      <c r="KA67" s="880" t="str">
        <f t="shared" si="204"/>
        <v/>
      </c>
      <c r="KB67" s="873" t="str">
        <f t="shared" si="205"/>
        <v/>
      </c>
      <c r="KC67" s="870" t="str">
        <f>IF($AC$32="","",IF(AND($S$35=KA$11,$U$35&lt;&gt;""),$U$35,IF(AND($S$35=KA$11,$AA$35&lt;&gt;""),$AA$35,IF($S$35=KA$11,$AB$35,""))))</f>
        <v/>
      </c>
      <c r="KD67" s="880" t="str">
        <f t="shared" si="206"/>
        <v/>
      </c>
      <c r="KE67" s="873" t="str">
        <f t="shared" si="207"/>
        <v/>
      </c>
      <c r="KF67" s="870" t="str">
        <f>IF($AC$32="","",IF(AND($S$35=KD$11,$U$35&lt;&gt;""),$U$35,IF(AND($S$35=KD$11,$AA$35&lt;&gt;""),$AA$35,IF($S$35=KD$11,$AB$35,""))))</f>
        <v/>
      </c>
      <c r="KG67" s="880" t="str">
        <f t="shared" si="208"/>
        <v/>
      </c>
      <c r="KH67" s="873" t="str">
        <f t="shared" si="209"/>
        <v/>
      </c>
      <c r="KI67" s="870" t="str">
        <f>IF($AC$32="","",IF(AND($S$35=KG$11,$U$35&lt;&gt;""),$U$35,IF(AND($S$35=KG$11,$AA$35&lt;&gt;""),$AA$35,IF($S$35=KG$11,$AB$35,""))))</f>
        <v/>
      </c>
      <c r="KJ67" s="880" t="str">
        <f t="shared" si="210"/>
        <v/>
      </c>
      <c r="KK67" s="873" t="str">
        <f t="shared" si="211"/>
        <v/>
      </c>
      <c r="KL67" s="870" t="str">
        <f>IF($AC$32="","",IF(AND($S$35=KJ$11,$U$35&lt;&gt;""),$U$35,IF(AND($S$35=KJ$11,$AA$35&lt;&gt;""),$AA$35,IF($S$35=KJ$11,$AB$35,""))))</f>
        <v/>
      </c>
      <c r="KM67" s="880" t="str">
        <f t="shared" si="212"/>
        <v/>
      </c>
      <c r="KN67" s="873" t="str">
        <f t="shared" si="213"/>
        <v/>
      </c>
      <c r="KO67" s="870" t="str">
        <f>IF($AC$32="","",IF(AND($S$35=KM$11,$U$35&lt;&gt;""),$U$35,IF(AND($S$35=KM$11,$AA$35&lt;&gt;""),$AA$35,IF($S$35=KM$11,$AB$35,""))))</f>
        <v/>
      </c>
      <c r="KP67" s="880" t="str">
        <f t="shared" si="214"/>
        <v/>
      </c>
      <c r="KQ67" s="873" t="str">
        <f t="shared" si="215"/>
        <v/>
      </c>
      <c r="KR67" s="870" t="str">
        <f>IF($AC$32="","",IF(AND($S$35=KP$11,$U$35&lt;&gt;""),$U$35,IF(AND($S$35=KP$11,$AA$35&lt;&gt;""),$AA$35,IF($S$35=KP$11,$AB$35,""))))</f>
        <v/>
      </c>
      <c r="KS67" s="880" t="str">
        <f t="shared" si="216"/>
        <v/>
      </c>
      <c r="KT67" s="873" t="str">
        <f t="shared" si="217"/>
        <v/>
      </c>
      <c r="KU67" s="870" t="str">
        <f>IF($AC$32="","",IF(AND($S$35=KS$11,$U$35&lt;&gt;""),$U$35,IF(AND($S$35=KS$11,$AA$35&lt;&gt;""),$AA$35,IF($S$35=KS$11,$AB$35,""))))</f>
        <v/>
      </c>
      <c r="KV67" s="880" t="str">
        <f t="shared" si="218"/>
        <v/>
      </c>
      <c r="KW67" s="873" t="str">
        <f t="shared" si="219"/>
        <v/>
      </c>
      <c r="KX67" s="870" t="str">
        <f>IF($AC$32="","",IF(AND($S$35=KV$11,$U$35&lt;&gt;""),$U$35,IF(AND($S$35=KV$11,$AA$35&lt;&gt;""),$AA$35,IF($S$35=KV$11,$AB$35,""))))</f>
        <v/>
      </c>
      <c r="KY67" s="880" t="str">
        <f t="shared" si="220"/>
        <v/>
      </c>
      <c r="KZ67" s="873" t="str">
        <f t="shared" si="221"/>
        <v/>
      </c>
      <c r="LA67" s="870" t="str">
        <f>IF($AC$32="","",IF(AND($S$35=KY$11,$U$35&lt;&gt;""),$U$35,IF(AND($S$35=KY$11,$AA$35&lt;&gt;""),$AA$35,IF($S$35=KY$11,$AB$35,""))))</f>
        <v/>
      </c>
      <c r="LB67" s="880" t="str">
        <f t="shared" si="222"/>
        <v/>
      </c>
      <c r="LC67" s="873" t="str">
        <f t="shared" si="223"/>
        <v/>
      </c>
      <c r="LD67" s="870" t="str">
        <f>IF($AC$32="","",IF(AND($S$35=LB$11,$U$35&lt;&gt;""),$U$35,IF(AND($S$35=LB$11,$AA$35&lt;&gt;""),$AA$35,IF($S$35=LB$11,$AB$35,""))))</f>
        <v/>
      </c>
      <c r="LE67" s="880" t="str">
        <f t="shared" si="224"/>
        <v/>
      </c>
      <c r="LF67" s="873" t="str">
        <f t="shared" si="225"/>
        <v/>
      </c>
      <c r="LG67" s="870" t="str">
        <f>IF($AC$32="","",IF(AND($S$35=LE$11,$U$35&lt;&gt;""),$U$35,IF(AND($S$35=LE$11,$AA$35&lt;&gt;""),$AA$35,IF($S$35=LE$11,$AB$35,""))))</f>
        <v/>
      </c>
      <c r="LH67"/>
      <c r="LI67"/>
      <c r="LJ67"/>
      <c r="LK67"/>
      <c r="LL67"/>
      <c r="LM67"/>
    </row>
    <row r="68" spans="4:325">
      <c r="D68" s="8"/>
      <c r="E68" s="8"/>
      <c r="F68" s="8"/>
      <c r="G68" s="8"/>
      <c r="H68" s="8"/>
      <c r="M68" s="8"/>
      <c r="N68" s="8"/>
      <c r="S68" s="8"/>
      <c r="T68" s="8"/>
      <c r="U68" s="8"/>
      <c r="V68" s="8"/>
      <c r="W68" s="8"/>
      <c r="AH68" s="8"/>
      <c r="AI68" s="8"/>
      <c r="AJ68" s="8"/>
      <c r="AK68" s="8"/>
      <c r="BJ68" s="8"/>
      <c r="BY68" s="8"/>
      <c r="BZ68" s="8"/>
      <c r="CC68" s="8"/>
      <c r="CD68" s="8"/>
      <c r="CE68" s="8"/>
      <c r="CF68" s="8"/>
      <c r="CG68" s="762">
        <v>2</v>
      </c>
      <c r="CH68" s="13" t="str">
        <f t="shared" si="250"/>
        <v>Dimitry Koltakov</v>
      </c>
      <c r="CI68" s="770">
        <f t="shared" si="251"/>
        <v>0</v>
      </c>
      <c r="DC68"/>
      <c r="DD68"/>
      <c r="DE68"/>
      <c r="DF68"/>
      <c r="DG68"/>
      <c r="DH68"/>
      <c r="DI68"/>
      <c r="EZ68" s="13">
        <f t="shared" si="245"/>
        <v>10</v>
      </c>
      <c r="FA68" s="249">
        <f t="shared" si="246"/>
        <v>10</v>
      </c>
      <c r="FB68" s="486" t="str">
        <f t="shared" si="247"/>
        <v>Franz Zorn</v>
      </c>
      <c r="FC68" s="574">
        <f t="shared" si="248"/>
        <v>0</v>
      </c>
      <c r="FD68" s="600">
        <f t="shared" si="249"/>
        <v>4.9999999999999998E-7</v>
      </c>
      <c r="GW68" s="1143">
        <v>15</v>
      </c>
      <c r="GX68" s="229" t="str">
        <f>IF($AC$36="","",IF($JB$36=$GX$3,$JC$36,IF(AND($W$36=$GX$3,$AA$36&lt;&gt;""),$AA$36,IF(AND($W$36=$GX$3,$AA$36=""),$AB$36,""))))</f>
        <v/>
      </c>
      <c r="GY68" s="299">
        <v>24</v>
      </c>
      <c r="GZ68" s="300" t="str">
        <f t="shared" si="105"/>
        <v/>
      </c>
      <c r="HA68" s="93" t="str">
        <f t="shared" si="62"/>
        <v/>
      </c>
      <c r="HB68" s="300"/>
      <c r="HC68" s="93" t="str">
        <f t="shared" si="106"/>
        <v/>
      </c>
      <c r="HG68" s="1143">
        <v>15</v>
      </c>
      <c r="HH68" s="229" t="str">
        <f>IF($AC$36="","",IF($JB$36=$HH$3,$JC$36,IF(AND($W$36=$HH$3,$AA$36&lt;&gt;""),$AA$36,IF(AND($W$36=$HH$3,$AA$36=""),$AB$36,""))))</f>
        <v/>
      </c>
      <c r="HI68" s="299">
        <v>24</v>
      </c>
      <c r="HJ68" s="300" t="str">
        <f t="shared" si="107"/>
        <v/>
      </c>
      <c r="HK68" s="93" t="str">
        <f t="shared" si="63"/>
        <v/>
      </c>
      <c r="HL68" s="300"/>
      <c r="HM68" s="93" t="str">
        <f t="shared" si="64"/>
        <v/>
      </c>
      <c r="JJ68" s="1334">
        <v>15</v>
      </c>
      <c r="JK68" s="875">
        <v>24</v>
      </c>
      <c r="JL68" s="878" t="str">
        <f t="shared" si="108"/>
        <v/>
      </c>
      <c r="JM68" s="871" t="str">
        <f t="shared" si="196"/>
        <v/>
      </c>
      <c r="JN68" s="868" t="str">
        <f>IF($AC$36="","",IF(AND($S$36=JL$11,$U$36&lt;&gt;""),$U$36,IF(AND($S$36=JL$11,$AA$36&lt;&gt;""),$AA$36,IF($S$36=JL$11,$AB$36,""))))</f>
        <v/>
      </c>
      <c r="JO68" s="878" t="str">
        <f t="shared" si="109"/>
        <v/>
      </c>
      <c r="JP68" s="871" t="str">
        <f t="shared" si="197"/>
        <v/>
      </c>
      <c r="JQ68" s="868" t="str">
        <f>IF($AC$36="","",IF(AND($S$36=JO$11,$U$36&lt;&gt;""),$U$36,IF(AND($S$36=JO$11,$AA$36&lt;&gt;""),$AA$36,IF($S$36=JO$11,$AB$36,""))))</f>
        <v/>
      </c>
      <c r="JR68" s="878" t="str">
        <f t="shared" si="198"/>
        <v/>
      </c>
      <c r="JS68" s="871" t="str">
        <f t="shared" si="199"/>
        <v/>
      </c>
      <c r="JT68" s="868" t="str">
        <f>IF($AC$36="","",IF(AND($S$36=JR$11,$U$36&lt;&gt;""),$U$36,IF(AND($S$36=JR$11,$AA$36&lt;&gt;""),$AA$36,IF($S$36=JR$11,$AB$36,""))))</f>
        <v/>
      </c>
      <c r="JU68" s="878" t="str">
        <f t="shared" si="200"/>
        <v/>
      </c>
      <c r="JV68" s="871" t="str">
        <f t="shared" si="201"/>
        <v/>
      </c>
      <c r="JW68" s="868" t="str">
        <f>IF($AC$36="","",IF(AND($S$36=JU$11,$U$36&lt;&gt;""),$U$36,IF(AND($S$36=JU$11,$AA$36&lt;&gt;""),$AA$36,IF($S$36=JU$11,$AB$36,""))))</f>
        <v/>
      </c>
      <c r="JX68" s="878" t="str">
        <f t="shared" si="202"/>
        <v/>
      </c>
      <c r="JY68" s="871" t="str">
        <f t="shared" si="203"/>
        <v/>
      </c>
      <c r="JZ68" s="868" t="str">
        <f>IF($AC$36="","",IF(AND($S$36=JX$11,$U$36&lt;&gt;""),$U$36,IF(AND($S$36=JX$11,$AA$36&lt;&gt;""),$AA$36,IF($S$36=JX$11,$AB$36,""))))</f>
        <v/>
      </c>
      <c r="KA68" s="878" t="str">
        <f t="shared" si="204"/>
        <v/>
      </c>
      <c r="KB68" s="871" t="str">
        <f t="shared" si="205"/>
        <v/>
      </c>
      <c r="KC68" s="868" t="str">
        <f>IF($AC$36="","",IF(AND($S$36=KA$11,$U$36&lt;&gt;""),$U$36,IF(AND($S$36=KA$11,$AA$36&lt;&gt;""),$AA$36,IF($S$36=KA$11,$AB$36,""))))</f>
        <v/>
      </c>
      <c r="KD68" s="878" t="str">
        <f t="shared" si="206"/>
        <v/>
      </c>
      <c r="KE68" s="871" t="str">
        <f t="shared" si="207"/>
        <v/>
      </c>
      <c r="KF68" s="868" t="str">
        <f>IF($AC$36="","",IF(AND($S$36=KD$11,$U$36&lt;&gt;""),$U$36,IF(AND($S$36=KD$11,$AA$36&lt;&gt;""),$AA$36,IF($S$36=KD$11,$AB$36,""))))</f>
        <v/>
      </c>
      <c r="KG68" s="878" t="str">
        <f t="shared" si="208"/>
        <v/>
      </c>
      <c r="KH68" s="871" t="str">
        <f t="shared" si="209"/>
        <v/>
      </c>
      <c r="KI68" s="868" t="str">
        <f>IF($AC$36="","",IF(AND($S$36=KG$11,$U$36&lt;&gt;""),$U$36,IF(AND($S$36=KG$11,$AA$36&lt;&gt;""),$AA$36,IF($S$36=KG$11,$AB$36,""))))</f>
        <v/>
      </c>
      <c r="KJ68" s="878" t="str">
        <f t="shared" si="210"/>
        <v/>
      </c>
      <c r="KK68" s="871" t="str">
        <f t="shared" si="211"/>
        <v/>
      </c>
      <c r="KL68" s="868" t="str">
        <f>IF($AC$36="","",IF(AND($S$36=KJ$11,$U$36&lt;&gt;""),$U$36,IF(AND($S$36=KJ$11,$AA$36&lt;&gt;""),$AA$36,IF($S$36=KJ$11,$AB$36,""))))</f>
        <v/>
      </c>
      <c r="KM68" s="878" t="str">
        <f t="shared" si="212"/>
        <v/>
      </c>
      <c r="KN68" s="871" t="str">
        <f t="shared" si="213"/>
        <v/>
      </c>
      <c r="KO68" s="868" t="str">
        <f>IF($AC$36="","",IF(AND($S$36=KM$11,$U$36&lt;&gt;""),$U$36,IF(AND($S$36=KM$11,$AA$36&lt;&gt;""),$AA$36,IF($S$36=KM$11,$AB$36,""))))</f>
        <v/>
      </c>
      <c r="KP68" s="878" t="str">
        <f t="shared" si="214"/>
        <v/>
      </c>
      <c r="KQ68" s="871" t="str">
        <f t="shared" si="215"/>
        <v/>
      </c>
      <c r="KR68" s="868" t="str">
        <f>IF($AC$36="","",IF(AND($S$36=KP$11,$U$36&lt;&gt;""),$U$36,IF(AND($S$36=KP$11,$AA$36&lt;&gt;""),$AA$36,IF($S$36=KP$11,$AB$36,""))))</f>
        <v/>
      </c>
      <c r="KS68" s="878" t="str">
        <f t="shared" si="216"/>
        <v/>
      </c>
      <c r="KT68" s="871" t="str">
        <f t="shared" si="217"/>
        <v/>
      </c>
      <c r="KU68" s="868" t="str">
        <f>IF($AC$36="","",IF(AND($S$36=KS$11,$U$36&lt;&gt;""),$U$36,IF(AND($S$36=KS$11,$AA$36&lt;&gt;""),$AA$36,IF($S$36=KS$11,$AB$36,""))))</f>
        <v/>
      </c>
      <c r="KV68" s="878" t="str">
        <f t="shared" si="218"/>
        <v/>
      </c>
      <c r="KW68" s="871" t="str">
        <f t="shared" si="219"/>
        <v/>
      </c>
      <c r="KX68" s="868" t="str">
        <f>IF($AC$36="","",IF(AND($S$36=KV$11,$U$36&lt;&gt;""),$U$36,IF(AND($S$36=KV$11,$AA$36&lt;&gt;""),$AA$36,IF($S$36=KV$11,$AB$36,""))))</f>
        <v/>
      </c>
      <c r="KY68" s="878" t="str">
        <f t="shared" si="220"/>
        <v/>
      </c>
      <c r="KZ68" s="871" t="str">
        <f t="shared" si="221"/>
        <v/>
      </c>
      <c r="LA68" s="868" t="str">
        <f>IF($AC$36="","",IF(AND($S$36=KY$11,$U$36&lt;&gt;""),$U$36,IF(AND($S$36=KY$11,$AA$36&lt;&gt;""),$AA$36,IF($S$36=KY$11,$AB$36,""))))</f>
        <v/>
      </c>
      <c r="LB68" s="878" t="str">
        <f t="shared" si="222"/>
        <v/>
      </c>
      <c r="LC68" s="871" t="str">
        <f t="shared" si="223"/>
        <v/>
      </c>
      <c r="LD68" s="868" t="str">
        <f>IF($AC$36="","",IF(AND($S$36=LB$11,$U$36&lt;&gt;""),$U$36,IF(AND($S$36=LB$11,$AA$36&lt;&gt;""),$AA$36,IF($S$36=LB$11,$AB$36,""))))</f>
        <v/>
      </c>
      <c r="LE68" s="878" t="str">
        <f t="shared" si="224"/>
        <v/>
      </c>
      <c r="LF68" s="871" t="str">
        <f t="shared" si="225"/>
        <v/>
      </c>
      <c r="LG68" s="868" t="str">
        <f>IF($AC$36="","",IF(AND($S$36=LE$11,$U$36&lt;&gt;""),$U$36,IF(AND($S$36=LE$11,$AA$36&lt;&gt;""),$AA$36,IF($S$36=LE$11,$AB$36,""))))</f>
        <v/>
      </c>
      <c r="LH68"/>
      <c r="LI68"/>
      <c r="LJ68"/>
      <c r="LK68"/>
      <c r="LL68"/>
      <c r="LM68"/>
    </row>
    <row r="69" spans="4:325">
      <c r="D69" s="8"/>
      <c r="E69" s="8"/>
      <c r="F69" s="8"/>
      <c r="G69" s="8"/>
      <c r="H69" s="8"/>
      <c r="M69" s="8"/>
      <c r="N69" s="8"/>
      <c r="S69" s="8"/>
      <c r="T69" s="8"/>
      <c r="U69" s="8"/>
      <c r="V69" s="8"/>
      <c r="W69" s="8"/>
      <c r="AH69" s="8"/>
      <c r="AI69" s="8"/>
      <c r="AJ69" s="8"/>
      <c r="AK69" s="8"/>
      <c r="BJ69" s="8"/>
      <c r="BY69" s="8"/>
      <c r="BZ69" s="8"/>
      <c r="CC69" s="8"/>
      <c r="CD69" s="8"/>
      <c r="CE69" s="8"/>
      <c r="CF69" s="8"/>
      <c r="CG69" s="762">
        <v>3</v>
      </c>
      <c r="CH69" s="13" t="str">
        <f t="shared" si="250"/>
        <v>Dimitry Khomitsevich</v>
      </c>
      <c r="CI69" s="770">
        <f t="shared" si="251"/>
        <v>0</v>
      </c>
      <c r="DC69"/>
      <c r="DD69"/>
      <c r="DE69"/>
      <c r="DF69"/>
      <c r="DG69"/>
      <c r="DH69"/>
      <c r="DI69"/>
      <c r="EZ69" s="13">
        <f t="shared" si="245"/>
        <v>6</v>
      </c>
      <c r="FA69" s="249">
        <f t="shared" si="246"/>
        <v>6</v>
      </c>
      <c r="FB69" s="486" t="str">
        <f t="shared" si="247"/>
        <v>Jan Klatovsky</v>
      </c>
      <c r="FC69" s="574">
        <f t="shared" si="248"/>
        <v>0</v>
      </c>
      <c r="FD69" s="600">
        <f t="shared" si="249"/>
        <v>5.4000000000000002E-7</v>
      </c>
      <c r="GW69" s="1144"/>
      <c r="GX69" s="230" t="str">
        <f>IF($AC$36="","",IF($JB$37=$GX$3,$JC$37,IF(AND($W$37=$GX$3,$AA$37&lt;&gt;""),$AA$37,IF(AND($W$37=$GX$3,$AA$37=""),$AB$37,""))))</f>
        <v/>
      </c>
      <c r="GY69" s="301">
        <v>23</v>
      </c>
      <c r="GZ69" s="5" t="str">
        <f t="shared" si="105"/>
        <v/>
      </c>
      <c r="HA69" s="95" t="str">
        <f t="shared" si="62"/>
        <v/>
      </c>
      <c r="HB69" s="5"/>
      <c r="HC69" s="95" t="str">
        <f t="shared" si="106"/>
        <v/>
      </c>
      <c r="HG69" s="1144"/>
      <c r="HH69" s="230" t="str">
        <f>IF($AC$36="","",IF($JB$37=$HH$3,$JC$37,IF(AND($W$37=$HH$3,$AA$37&lt;&gt;""),$AA$37,IF(AND($W$37=$HH$3,$AA$37=""),$AB$37,""))))</f>
        <v/>
      </c>
      <c r="HI69" s="301">
        <v>23</v>
      </c>
      <c r="HJ69" s="5" t="str">
        <f t="shared" si="107"/>
        <v/>
      </c>
      <c r="HK69" s="95" t="str">
        <f t="shared" si="63"/>
        <v/>
      </c>
      <c r="HL69" s="5"/>
      <c r="HM69" s="95" t="str">
        <f t="shared" si="64"/>
        <v/>
      </c>
      <c r="JJ69" s="1335"/>
      <c r="JK69" s="876">
        <v>23</v>
      </c>
      <c r="JL69" s="879" t="str">
        <f t="shared" si="108"/>
        <v/>
      </c>
      <c r="JM69" s="662" t="str">
        <f t="shared" si="196"/>
        <v/>
      </c>
      <c r="JN69" s="869" t="str">
        <f>IF($AC$36="","",IF(AND($S$37=JL$11,$U$37&lt;&gt;""),$U$37,IF(AND($S$37=JL$11,$AA$37&lt;&gt;""),$AA$37,IF($S$37=JL$11,$AB$37,""))))</f>
        <v/>
      </c>
      <c r="JO69" s="879" t="str">
        <f t="shared" si="109"/>
        <v/>
      </c>
      <c r="JP69" s="662" t="str">
        <f t="shared" si="197"/>
        <v/>
      </c>
      <c r="JQ69" s="869" t="str">
        <f>IF($AC$36="","",IF(AND($S$37=JO$11,$U$37&lt;&gt;""),$U$37,IF(AND($S$37=JO$11,$AA$37&lt;&gt;""),$AA$37,IF($S$37=JO$11,$AB$37,""))))</f>
        <v/>
      </c>
      <c r="JR69" s="879" t="str">
        <f t="shared" si="198"/>
        <v/>
      </c>
      <c r="JS69" s="662" t="str">
        <f t="shared" si="199"/>
        <v/>
      </c>
      <c r="JT69" s="869" t="str">
        <f>IF($AC$36="","",IF(AND($S$37=JR$11,$U$37&lt;&gt;""),$U$37,IF(AND($S$37=JR$11,$AA$37&lt;&gt;""),$AA$37,IF($S$37=JR$11,$AB$37,""))))</f>
        <v/>
      </c>
      <c r="JU69" s="879" t="str">
        <f t="shared" si="200"/>
        <v/>
      </c>
      <c r="JV69" s="662" t="str">
        <f t="shared" si="201"/>
        <v/>
      </c>
      <c r="JW69" s="869" t="str">
        <f>IF($AC$36="","",IF(AND($S$37=JU$11,$U$37&lt;&gt;""),$U$37,IF(AND($S$37=JU$11,$AA$37&lt;&gt;""),$AA$37,IF($S$37=JU$11,$AB$37,""))))</f>
        <v/>
      </c>
      <c r="JX69" s="879" t="str">
        <f t="shared" si="202"/>
        <v/>
      </c>
      <c r="JY69" s="662" t="str">
        <f t="shared" si="203"/>
        <v/>
      </c>
      <c r="JZ69" s="869" t="str">
        <f>IF($AC$36="","",IF(AND($S$37=JX$11,$U$37&lt;&gt;""),$U$37,IF(AND($S$37=JX$11,$AA$37&lt;&gt;""),$AA$37,IF($S$37=JX$11,$AB$37,""))))</f>
        <v/>
      </c>
      <c r="KA69" s="879" t="str">
        <f t="shared" si="204"/>
        <v/>
      </c>
      <c r="KB69" s="662" t="str">
        <f t="shared" si="205"/>
        <v/>
      </c>
      <c r="KC69" s="869" t="str">
        <f>IF($AC$36="","",IF(AND($S$37=KA$11,$U$37&lt;&gt;""),$U$37,IF(AND($S$37=KA$11,$AA$37&lt;&gt;""),$AA$37,IF($S$37=KA$11,$AB$37,""))))</f>
        <v/>
      </c>
      <c r="KD69" s="879" t="str">
        <f t="shared" si="206"/>
        <v/>
      </c>
      <c r="KE69" s="662" t="str">
        <f t="shared" si="207"/>
        <v/>
      </c>
      <c r="KF69" s="869" t="str">
        <f>IF($AC$36="","",IF(AND($S$37=KD$11,$U$37&lt;&gt;""),$U$37,IF(AND($S$37=KD$11,$AA$37&lt;&gt;""),$AA$37,IF($S$37=KD$11,$AB$37,""))))</f>
        <v/>
      </c>
      <c r="KG69" s="879" t="str">
        <f t="shared" si="208"/>
        <v/>
      </c>
      <c r="KH69" s="662" t="str">
        <f t="shared" si="209"/>
        <v/>
      </c>
      <c r="KI69" s="869" t="str">
        <f>IF($AC$36="","",IF(AND($S$37=KG$11,$U$37&lt;&gt;""),$U$37,IF(AND($S$37=KG$11,$AA$37&lt;&gt;""),$AA$37,IF($S$37=KG$11,$AB$37,""))))</f>
        <v/>
      </c>
      <c r="KJ69" s="879" t="str">
        <f t="shared" si="210"/>
        <v/>
      </c>
      <c r="KK69" s="662" t="str">
        <f t="shared" si="211"/>
        <v/>
      </c>
      <c r="KL69" s="869" t="str">
        <f>IF($AC$36="","",IF(AND($S$37=KJ$11,$U$37&lt;&gt;""),$U$37,IF(AND($S$37=KJ$11,$AA$37&lt;&gt;""),$AA$37,IF($S$37=KJ$11,$AB$37,""))))</f>
        <v/>
      </c>
      <c r="KM69" s="879" t="str">
        <f t="shared" si="212"/>
        <v/>
      </c>
      <c r="KN69" s="662" t="str">
        <f t="shared" si="213"/>
        <v/>
      </c>
      <c r="KO69" s="869" t="str">
        <f>IF($AC$36="","",IF(AND($S$37=KM$11,$U$37&lt;&gt;""),$U$37,IF(AND($S$37=KM$11,$AA$37&lt;&gt;""),$AA$37,IF($S$37=KM$11,$AB$37,""))))</f>
        <v/>
      </c>
      <c r="KP69" s="879" t="str">
        <f t="shared" si="214"/>
        <v/>
      </c>
      <c r="KQ69" s="662" t="str">
        <f t="shared" si="215"/>
        <v/>
      </c>
      <c r="KR69" s="869" t="str">
        <f>IF($AC$36="","",IF(AND($S$37=KP$11,$U$37&lt;&gt;""),$U$37,IF(AND($S$37=KP$11,$AA$37&lt;&gt;""),$AA$37,IF($S$37=KP$11,$AB$37,""))))</f>
        <v/>
      </c>
      <c r="KS69" s="879" t="str">
        <f t="shared" si="216"/>
        <v/>
      </c>
      <c r="KT69" s="662" t="str">
        <f t="shared" si="217"/>
        <v/>
      </c>
      <c r="KU69" s="869" t="str">
        <f>IF($AC$36="","",IF(AND($S$37=KS$11,$U$37&lt;&gt;""),$U$37,IF(AND($S$37=KS$11,$AA$37&lt;&gt;""),$AA$37,IF($S$37=KS$11,$AB$37,""))))</f>
        <v/>
      </c>
      <c r="KV69" s="879" t="str">
        <f t="shared" si="218"/>
        <v/>
      </c>
      <c r="KW69" s="662" t="str">
        <f t="shared" si="219"/>
        <v/>
      </c>
      <c r="KX69" s="869" t="str">
        <f>IF($AC$36="","",IF(AND($S$37=KV$11,$U$37&lt;&gt;""),$U$37,IF(AND($S$37=KV$11,$AA$37&lt;&gt;""),$AA$37,IF($S$37=KV$11,$AB$37,""))))</f>
        <v/>
      </c>
      <c r="KY69" s="879" t="str">
        <f t="shared" si="220"/>
        <v/>
      </c>
      <c r="KZ69" s="662" t="str">
        <f t="shared" si="221"/>
        <v/>
      </c>
      <c r="LA69" s="869" t="str">
        <f>IF($AC$36="","",IF(AND($S$37=KY$11,$U$37&lt;&gt;""),$U$37,IF(AND($S$37=KY$11,$AA$37&lt;&gt;""),$AA$37,IF($S$37=KY$11,$AB$37,""))))</f>
        <v/>
      </c>
      <c r="LB69" s="879" t="str">
        <f t="shared" si="222"/>
        <v/>
      </c>
      <c r="LC69" s="662" t="str">
        <f t="shared" si="223"/>
        <v/>
      </c>
      <c r="LD69" s="869" t="str">
        <f>IF($AC$36="","",IF(AND($S$37=LB$11,$U$37&lt;&gt;""),$U$37,IF(AND($S$37=LB$11,$AA$37&lt;&gt;""),$AA$37,IF($S$37=LB$11,$AB$37,""))))</f>
        <v/>
      </c>
      <c r="LE69" s="879" t="str">
        <f t="shared" si="224"/>
        <v/>
      </c>
      <c r="LF69" s="662" t="str">
        <f t="shared" si="225"/>
        <v/>
      </c>
      <c r="LG69" s="869" t="str">
        <f>IF($AC$36="","",IF(AND($S$37=LE$11,$U$37&lt;&gt;""),$U$37,IF(AND($S$37=LE$11,$AA$37&lt;&gt;""),$AA$37,IF($S$37=LE$11,$AB$37,""))))</f>
        <v/>
      </c>
      <c r="LH69"/>
      <c r="LI69"/>
      <c r="LJ69"/>
      <c r="LK69"/>
      <c r="LL69"/>
      <c r="LM69"/>
    </row>
    <row r="70" spans="4:325">
      <c r="D70" s="8"/>
      <c r="E70" s="8"/>
      <c r="F70" s="8"/>
      <c r="G70" s="8"/>
      <c r="H70" s="8"/>
      <c r="M70" s="8"/>
      <c r="N70" s="8"/>
      <c r="S70" s="8"/>
      <c r="T70" s="8"/>
      <c r="U70" s="8"/>
      <c r="V70" s="8"/>
      <c r="W70" s="8"/>
      <c r="AH70" s="8"/>
      <c r="AI70" s="8"/>
      <c r="AJ70" s="8"/>
      <c r="AK70" s="8"/>
      <c r="BJ70" s="8"/>
      <c r="BY70" s="8"/>
      <c r="BZ70" s="8"/>
      <c r="CC70" s="8"/>
      <c r="CD70" s="8"/>
      <c r="CE70" s="8"/>
      <c r="CF70" s="8"/>
      <c r="CG70" s="762">
        <v>4</v>
      </c>
      <c r="CH70" s="13" t="str">
        <f t="shared" si="250"/>
        <v>Igor Kononov</v>
      </c>
      <c r="CI70" s="770">
        <f t="shared" si="251"/>
        <v>0</v>
      </c>
      <c r="DC70"/>
      <c r="DD70"/>
      <c r="DE70"/>
      <c r="DF70"/>
      <c r="DG70"/>
      <c r="DH70"/>
      <c r="DI70"/>
      <c r="EZ70" s="13">
        <f t="shared" si="245"/>
        <v>13</v>
      </c>
      <c r="FA70" s="249">
        <f t="shared" si="246"/>
        <v>13</v>
      </c>
      <c r="FB70" s="486" t="str">
        <f t="shared" si="247"/>
        <v>Antonin Klatovsky</v>
      </c>
      <c r="FC70" s="574">
        <f t="shared" si="248"/>
        <v>0</v>
      </c>
      <c r="FD70" s="600">
        <f t="shared" si="249"/>
        <v>4.5999999999999999E-7</v>
      </c>
      <c r="GW70" s="1144"/>
      <c r="GX70" s="230" t="str">
        <f>IF($AC$36="","",IF($JB$38=$GX$3,$JC$38,IF(AND($W$38=$GX$3,$AA$38&lt;&gt;""),$AA$38,IF(AND($W$38=$GX$3,$AA$38=""),$AB$38,""))))</f>
        <v/>
      </c>
      <c r="GY70" s="301">
        <v>22</v>
      </c>
      <c r="GZ70" s="5" t="str">
        <f t="shared" si="105"/>
        <v/>
      </c>
      <c r="HA70" s="95" t="str">
        <f t="shared" si="62"/>
        <v/>
      </c>
      <c r="HB70" s="5"/>
      <c r="HC70" s="95" t="str">
        <f t="shared" si="106"/>
        <v/>
      </c>
      <c r="HG70" s="1144"/>
      <c r="HH70" s="230" t="str">
        <f>IF($AC$36="","",IF($JB$38=$HH$3,$JC$38,IF(AND($W$38=$HH$3,$AA$38&lt;&gt;""),$AA$38,IF(AND($W$38=$HH$3,$AA$38=""),$AB$38,""))))</f>
        <v/>
      </c>
      <c r="HI70" s="301">
        <v>22</v>
      </c>
      <c r="HJ70" s="5" t="str">
        <f t="shared" si="107"/>
        <v/>
      </c>
      <c r="HK70" s="95" t="str">
        <f t="shared" si="63"/>
        <v/>
      </c>
      <c r="HL70" s="5"/>
      <c r="HM70" s="95" t="str">
        <f t="shared" si="64"/>
        <v/>
      </c>
      <c r="JJ70" s="1335"/>
      <c r="JK70" s="876">
        <v>22</v>
      </c>
      <c r="JL70" s="879" t="str">
        <f t="shared" si="108"/>
        <v/>
      </c>
      <c r="JM70" s="662" t="str">
        <f t="shared" si="196"/>
        <v/>
      </c>
      <c r="JN70" s="869" t="str">
        <f>IF($AC$36="","",IF(AND($S$38=JL$11,$U$38&lt;&gt;""),$U$38,IF(AND($S$38=JL$11,$AA$38&lt;&gt;""),$AA$38,IF($S$38=JL$11,$AB$38,""))))</f>
        <v/>
      </c>
      <c r="JO70" s="879" t="str">
        <f t="shared" si="109"/>
        <v/>
      </c>
      <c r="JP70" s="662" t="str">
        <f t="shared" si="197"/>
        <v/>
      </c>
      <c r="JQ70" s="869" t="str">
        <f>IF($AC$36="","",IF(AND($S$38=JO$11,$U$38&lt;&gt;""),$U$38,IF(AND($S$38=JO$11,$AA$38&lt;&gt;""),$AA$38,IF($S$38=JO$11,$AB$38,""))))</f>
        <v/>
      </c>
      <c r="JR70" s="879" t="str">
        <f t="shared" si="198"/>
        <v/>
      </c>
      <c r="JS70" s="662" t="str">
        <f t="shared" si="199"/>
        <v/>
      </c>
      <c r="JT70" s="869" t="str">
        <f>IF($AC$36="","",IF(AND($S$38=JR$11,$U$38&lt;&gt;""),$U$38,IF(AND($S$38=JR$11,$AA$38&lt;&gt;""),$AA$38,IF($S$38=JR$11,$AB$38,""))))</f>
        <v/>
      </c>
      <c r="JU70" s="879" t="str">
        <f t="shared" si="200"/>
        <v/>
      </c>
      <c r="JV70" s="662" t="str">
        <f t="shared" si="201"/>
        <v/>
      </c>
      <c r="JW70" s="869" t="str">
        <f>IF($AC$36="","",IF(AND($S$38=JU$11,$U$38&lt;&gt;""),$U$38,IF(AND($S$38=JU$11,$AA$38&lt;&gt;""),$AA$38,IF($S$38=JU$11,$AB$38,""))))</f>
        <v/>
      </c>
      <c r="JX70" s="879" t="str">
        <f t="shared" si="202"/>
        <v/>
      </c>
      <c r="JY70" s="662" t="str">
        <f t="shared" si="203"/>
        <v/>
      </c>
      <c r="JZ70" s="869" t="str">
        <f>IF($AC$36="","",IF(AND($S$38=JX$11,$U$38&lt;&gt;""),$U$38,IF(AND($S$38=JX$11,$AA$38&lt;&gt;""),$AA$38,IF($S$38=JX$11,$AB$38,""))))</f>
        <v/>
      </c>
      <c r="KA70" s="879" t="str">
        <f t="shared" si="204"/>
        <v/>
      </c>
      <c r="KB70" s="662" t="str">
        <f t="shared" si="205"/>
        <v/>
      </c>
      <c r="KC70" s="869" t="str">
        <f>IF($AC$36="","",IF(AND($S$38=KA$11,$U$38&lt;&gt;""),$U$38,IF(AND($S$38=KA$11,$AA$38&lt;&gt;""),$AA$38,IF($S$38=KA$11,$AB$38,""))))</f>
        <v/>
      </c>
      <c r="KD70" s="879" t="str">
        <f t="shared" si="206"/>
        <v/>
      </c>
      <c r="KE70" s="662" t="str">
        <f t="shared" si="207"/>
        <v/>
      </c>
      <c r="KF70" s="869" t="str">
        <f>IF($AC$36="","",IF(AND($S$38=KD$11,$U$38&lt;&gt;""),$U$38,IF(AND($S$38=KD$11,$AA$38&lt;&gt;""),$AA$38,IF($S$38=KD$11,$AB$38,""))))</f>
        <v/>
      </c>
      <c r="KG70" s="879" t="str">
        <f t="shared" si="208"/>
        <v/>
      </c>
      <c r="KH70" s="662" t="str">
        <f t="shared" si="209"/>
        <v/>
      </c>
      <c r="KI70" s="869" t="str">
        <f>IF($AC$36="","",IF(AND($S$38=KG$11,$U$38&lt;&gt;""),$U$38,IF(AND($S$38=KG$11,$AA$38&lt;&gt;""),$AA$38,IF($S$38=KG$11,$AB$38,""))))</f>
        <v/>
      </c>
      <c r="KJ70" s="879" t="str">
        <f t="shared" si="210"/>
        <v/>
      </c>
      <c r="KK70" s="662" t="str">
        <f t="shared" si="211"/>
        <v/>
      </c>
      <c r="KL70" s="869" t="str">
        <f>IF($AC$36="","",IF(AND($S$38=KJ$11,$U$38&lt;&gt;""),$U$38,IF(AND($S$38=KJ$11,$AA$38&lt;&gt;""),$AA$38,IF($S$38=KJ$11,$AB$38,""))))</f>
        <v/>
      </c>
      <c r="KM70" s="879" t="str">
        <f t="shared" si="212"/>
        <v/>
      </c>
      <c r="KN70" s="662" t="str">
        <f t="shared" si="213"/>
        <v/>
      </c>
      <c r="KO70" s="869" t="str">
        <f>IF($AC$36="","",IF(AND($S$38=KM$11,$U$38&lt;&gt;""),$U$38,IF(AND($S$38=KM$11,$AA$38&lt;&gt;""),$AA$38,IF($S$38=KM$11,$AB$38,""))))</f>
        <v/>
      </c>
      <c r="KP70" s="879" t="str">
        <f t="shared" si="214"/>
        <v/>
      </c>
      <c r="KQ70" s="662" t="str">
        <f t="shared" si="215"/>
        <v/>
      </c>
      <c r="KR70" s="869" t="str">
        <f>IF($AC$36="","",IF(AND($S$38=KP$11,$U$38&lt;&gt;""),$U$38,IF(AND($S$38=KP$11,$AA$38&lt;&gt;""),$AA$38,IF($S$38=KP$11,$AB$38,""))))</f>
        <v/>
      </c>
      <c r="KS70" s="879" t="str">
        <f t="shared" si="216"/>
        <v/>
      </c>
      <c r="KT70" s="662" t="str">
        <f t="shared" si="217"/>
        <v/>
      </c>
      <c r="KU70" s="869" t="str">
        <f>IF($AC$36="","",IF(AND($S$38=KS$11,$U$38&lt;&gt;""),$U$38,IF(AND($S$38=KS$11,$AA$38&lt;&gt;""),$AA$38,IF($S$38=KS$11,$AB$38,""))))</f>
        <v/>
      </c>
      <c r="KV70" s="879" t="str">
        <f t="shared" si="218"/>
        <v/>
      </c>
      <c r="KW70" s="662" t="str">
        <f t="shared" si="219"/>
        <v/>
      </c>
      <c r="KX70" s="869" t="str">
        <f>IF($AC$36="","",IF(AND($S$38=KV$11,$U$38&lt;&gt;""),$U$38,IF(AND($S$38=KV$11,$AA$38&lt;&gt;""),$AA$38,IF($S$38=KV$11,$AB$38,""))))</f>
        <v/>
      </c>
      <c r="KY70" s="879" t="str">
        <f t="shared" si="220"/>
        <v/>
      </c>
      <c r="KZ70" s="662" t="str">
        <f t="shared" si="221"/>
        <v/>
      </c>
      <c r="LA70" s="869" t="str">
        <f>IF($AC$36="","",IF(AND($S$38=KY$11,$U$38&lt;&gt;""),$U$38,IF(AND($S$38=KY$11,$AA$38&lt;&gt;""),$AA$38,IF($S$38=KY$11,$AB$38,""))))</f>
        <v/>
      </c>
      <c r="LB70" s="879" t="str">
        <f t="shared" si="222"/>
        <v/>
      </c>
      <c r="LC70" s="662" t="str">
        <f t="shared" si="223"/>
        <v/>
      </c>
      <c r="LD70" s="869" t="str">
        <f>IF($AC$36="","",IF(AND($S$38=LB$11,$U$38&lt;&gt;""),$U$38,IF(AND($S$38=LB$11,$AA$38&lt;&gt;""),$AA$38,IF($S$38=LB$11,$AB$38,""))))</f>
        <v/>
      </c>
      <c r="LE70" s="879" t="str">
        <f t="shared" si="224"/>
        <v/>
      </c>
      <c r="LF70" s="662" t="str">
        <f t="shared" si="225"/>
        <v/>
      </c>
      <c r="LG70" s="869" t="str">
        <f>IF($AC$36="","",IF(AND($S$38=LE$11,$U$38&lt;&gt;""),$U$38,IF(AND($S$38=LE$11,$AA$38&lt;&gt;""),$AA$38,IF($S$38=LE$11,$AB$38,""))))</f>
        <v/>
      </c>
      <c r="LH70"/>
      <c r="LI70"/>
      <c r="LJ70"/>
      <c r="LK70"/>
      <c r="LL70"/>
      <c r="LM70"/>
    </row>
    <row r="71" spans="4:325" ht="13.5" thickBot="1">
      <c r="D71" s="8"/>
      <c r="E71" s="8"/>
      <c r="F71" s="8"/>
      <c r="G71" s="8"/>
      <c r="H71" s="8"/>
      <c r="M71" s="8"/>
      <c r="N71" s="8"/>
      <c r="S71" s="8"/>
      <c r="T71" s="8"/>
      <c r="U71" s="8"/>
      <c r="V71" s="8"/>
      <c r="W71" s="8"/>
      <c r="AH71" s="8"/>
      <c r="AI71" s="8"/>
      <c r="AJ71" s="8"/>
      <c r="AK71" s="8"/>
      <c r="BJ71" s="8"/>
      <c r="BY71" s="8"/>
      <c r="BZ71" s="8"/>
      <c r="CC71" s="8"/>
      <c r="CD71" s="8"/>
      <c r="CE71" s="8"/>
      <c r="CF71" s="8"/>
      <c r="CG71" s="762">
        <v>5</v>
      </c>
      <c r="CH71" s="13" t="str">
        <f t="shared" si="250"/>
        <v>Stefan Svensson</v>
      </c>
      <c r="CI71" s="770">
        <f t="shared" si="251"/>
        <v>0</v>
      </c>
      <c r="DC71"/>
      <c r="DD71"/>
      <c r="DE71"/>
      <c r="DF71"/>
      <c r="DG71"/>
      <c r="DH71"/>
      <c r="DI71"/>
      <c r="EZ71" s="13">
        <f t="shared" si="245"/>
        <v>15</v>
      </c>
      <c r="FA71" s="249">
        <f t="shared" si="246"/>
        <v>15</v>
      </c>
      <c r="FB71" s="486" t="str">
        <f t="shared" si="247"/>
        <v>Rene Stellingwerf</v>
      </c>
      <c r="FC71" s="574">
        <f t="shared" si="248"/>
        <v>0</v>
      </c>
      <c r="FD71" s="600">
        <f t="shared" si="249"/>
        <v>4.4000000000000002E-7</v>
      </c>
      <c r="GW71" s="1145"/>
      <c r="GX71" s="231" t="str">
        <f>IF($AC$36="","",IF($JB$39=$GX$3,$JC$39,IF(AND($W$39=$GX$3,$AA$39&lt;&gt;""),$AA$39,IF(AND($W$39=$GX$3,$AA$39=""),$AB$39,""))))</f>
        <v/>
      </c>
      <c r="GY71" s="302">
        <v>21</v>
      </c>
      <c r="GZ71" s="303" t="str">
        <f t="shared" si="105"/>
        <v/>
      </c>
      <c r="HA71" s="98" t="str">
        <f t="shared" si="62"/>
        <v/>
      </c>
      <c r="HB71" s="303"/>
      <c r="HC71" s="98" t="str">
        <f t="shared" si="106"/>
        <v/>
      </c>
      <c r="HG71" s="1145"/>
      <c r="HH71" s="231" t="str">
        <f>IF($AC$36="","",IF($JB$39=$HH$3,$JC$39,IF(AND($W$39=$HH$3,$AA$39&lt;&gt;""),$AA$39,IF(AND($W$39=$HH$3,$AA$39=""),$AB$39,""))))</f>
        <v/>
      </c>
      <c r="HI71" s="302">
        <v>21</v>
      </c>
      <c r="HJ71" s="303" t="str">
        <f t="shared" si="107"/>
        <v/>
      </c>
      <c r="HK71" s="98" t="str">
        <f t="shared" si="63"/>
        <v/>
      </c>
      <c r="HL71" s="303"/>
      <c r="HM71" s="98" t="str">
        <f t="shared" si="64"/>
        <v/>
      </c>
      <c r="JJ71" s="1336"/>
      <c r="JK71" s="877">
        <v>21</v>
      </c>
      <c r="JL71" s="880" t="str">
        <f t="shared" si="108"/>
        <v/>
      </c>
      <c r="JM71" s="873" t="str">
        <f t="shared" si="196"/>
        <v/>
      </c>
      <c r="JN71" s="870" t="str">
        <f>IF($AC$36="","",IF(AND($S$39=JL$11,$U$39&lt;&gt;""),$U$39,IF(AND($S$39=JL$11,$AA$39&lt;&gt;""),$AA$39,IF($S$39=JL$11,$AB$39,""))))</f>
        <v/>
      </c>
      <c r="JO71" s="880" t="str">
        <f t="shared" si="109"/>
        <v/>
      </c>
      <c r="JP71" s="873" t="str">
        <f t="shared" si="197"/>
        <v/>
      </c>
      <c r="JQ71" s="870" t="str">
        <f>IF($AC$36="","",IF(AND($S$39=JO$11,$U$39&lt;&gt;""),$U$39,IF(AND($S$39=JO$11,$AA$39&lt;&gt;""),$AA$39,IF($S$39=JO$11,$AB$39,""))))</f>
        <v/>
      </c>
      <c r="JR71" s="880" t="str">
        <f t="shared" si="198"/>
        <v/>
      </c>
      <c r="JS71" s="873" t="str">
        <f t="shared" si="199"/>
        <v/>
      </c>
      <c r="JT71" s="870" t="str">
        <f>IF($AC$36="","",IF(AND($S$39=JR$11,$U$39&lt;&gt;""),$U$39,IF(AND($S$39=JR$11,$AA$39&lt;&gt;""),$AA$39,IF($S$39=JR$11,$AB$39,""))))</f>
        <v/>
      </c>
      <c r="JU71" s="880" t="str">
        <f t="shared" si="200"/>
        <v/>
      </c>
      <c r="JV71" s="873" t="str">
        <f t="shared" si="201"/>
        <v/>
      </c>
      <c r="JW71" s="870" t="str">
        <f>IF($AC$36="","",IF(AND($S$39=JU$11,$U$39&lt;&gt;""),$U$39,IF(AND($S$39=JU$11,$AA$39&lt;&gt;""),$AA$39,IF($S$39=JU$11,$AB$39,""))))</f>
        <v/>
      </c>
      <c r="JX71" s="880" t="str">
        <f t="shared" si="202"/>
        <v/>
      </c>
      <c r="JY71" s="873" t="str">
        <f t="shared" si="203"/>
        <v/>
      </c>
      <c r="JZ71" s="870" t="str">
        <f>IF($AC$36="","",IF(AND($S$39=JX$11,$U$39&lt;&gt;""),$U$39,IF(AND($S$39=JX$11,$AA$39&lt;&gt;""),$AA$39,IF($S$39=JX$11,$AB$39,""))))</f>
        <v/>
      </c>
      <c r="KA71" s="880" t="str">
        <f t="shared" si="204"/>
        <v/>
      </c>
      <c r="KB71" s="873" t="str">
        <f t="shared" si="205"/>
        <v/>
      </c>
      <c r="KC71" s="870" t="str">
        <f>IF($AC$36="","",IF(AND($S$39=KA$11,$U$39&lt;&gt;""),$U$39,IF(AND($S$39=KA$11,$AA$39&lt;&gt;""),$AA$39,IF($S$39=KA$11,$AB$39,""))))</f>
        <v/>
      </c>
      <c r="KD71" s="880" t="str">
        <f t="shared" si="206"/>
        <v/>
      </c>
      <c r="KE71" s="873" t="str">
        <f t="shared" si="207"/>
        <v/>
      </c>
      <c r="KF71" s="870" t="str">
        <f>IF($AC$36="","",IF(AND($S$39=KD$11,$U$39&lt;&gt;""),$U$39,IF(AND($S$39=KD$11,$AA$39&lt;&gt;""),$AA$39,IF($S$39=KD$11,$AB$39,""))))</f>
        <v/>
      </c>
      <c r="KG71" s="880" t="str">
        <f t="shared" si="208"/>
        <v/>
      </c>
      <c r="KH71" s="873" t="str">
        <f t="shared" si="209"/>
        <v/>
      </c>
      <c r="KI71" s="870" t="str">
        <f>IF($AC$36="","",IF(AND($S$39=KG$11,$U$39&lt;&gt;""),$U$39,IF(AND($S$39=KG$11,$AA$39&lt;&gt;""),$AA$39,IF($S$39=KG$11,$AB$39,""))))</f>
        <v/>
      </c>
      <c r="KJ71" s="880" t="str">
        <f t="shared" si="210"/>
        <v/>
      </c>
      <c r="KK71" s="873" t="str">
        <f t="shared" si="211"/>
        <v/>
      </c>
      <c r="KL71" s="870" t="str">
        <f>IF($AC$36="","",IF(AND($S$39=KJ$11,$U$39&lt;&gt;""),$U$39,IF(AND($S$39=KJ$11,$AA$39&lt;&gt;""),$AA$39,IF($S$39=KJ$11,$AB$39,""))))</f>
        <v/>
      </c>
      <c r="KM71" s="880" t="str">
        <f t="shared" si="212"/>
        <v/>
      </c>
      <c r="KN71" s="873" t="str">
        <f t="shared" si="213"/>
        <v/>
      </c>
      <c r="KO71" s="870" t="str">
        <f>IF($AC$36="","",IF(AND($S$39=KM$11,$U$39&lt;&gt;""),$U$39,IF(AND($S$39=KM$11,$AA$39&lt;&gt;""),$AA$39,IF($S$39=KM$11,$AB$39,""))))</f>
        <v/>
      </c>
      <c r="KP71" s="880" t="str">
        <f t="shared" si="214"/>
        <v/>
      </c>
      <c r="KQ71" s="873" t="str">
        <f t="shared" si="215"/>
        <v/>
      </c>
      <c r="KR71" s="870" t="str">
        <f>IF($AC$36="","",IF(AND($S$39=KP$11,$U$39&lt;&gt;""),$U$39,IF(AND($S$39=KP$11,$AA$39&lt;&gt;""),$AA$39,IF($S$39=KP$11,$AB$39,""))))</f>
        <v/>
      </c>
      <c r="KS71" s="880" t="str">
        <f t="shared" si="216"/>
        <v/>
      </c>
      <c r="KT71" s="873" t="str">
        <f t="shared" si="217"/>
        <v/>
      </c>
      <c r="KU71" s="870" t="str">
        <f>IF($AC$36="","",IF(AND($S$39=KS$11,$U$39&lt;&gt;""),$U$39,IF(AND($S$39=KS$11,$AA$39&lt;&gt;""),$AA$39,IF($S$39=KS$11,$AB$39,""))))</f>
        <v/>
      </c>
      <c r="KV71" s="880" t="str">
        <f t="shared" si="218"/>
        <v/>
      </c>
      <c r="KW71" s="873" t="str">
        <f t="shared" si="219"/>
        <v/>
      </c>
      <c r="KX71" s="870" t="str">
        <f>IF($AC$36="","",IF(AND($S$39=KV$11,$U$39&lt;&gt;""),$U$39,IF(AND($S$39=KV$11,$AA$39&lt;&gt;""),$AA$39,IF($S$39=KV$11,$AB$39,""))))</f>
        <v/>
      </c>
      <c r="KY71" s="880" t="str">
        <f t="shared" si="220"/>
        <v/>
      </c>
      <c r="KZ71" s="873" t="str">
        <f t="shared" si="221"/>
        <v/>
      </c>
      <c r="LA71" s="870" t="str">
        <f>IF($AC$36="","",IF(AND($S$39=KY$11,$U$39&lt;&gt;""),$U$39,IF(AND($S$39=KY$11,$AA$39&lt;&gt;""),$AA$39,IF($S$39=KY$11,$AB$39,""))))</f>
        <v/>
      </c>
      <c r="LB71" s="880" t="str">
        <f t="shared" si="222"/>
        <v/>
      </c>
      <c r="LC71" s="873" t="str">
        <f t="shared" si="223"/>
        <v/>
      </c>
      <c r="LD71" s="870" t="str">
        <f>IF($AC$36="","",IF(AND($S$39=LB$11,$U$39&lt;&gt;""),$U$39,IF(AND($S$39=LB$11,$AA$39&lt;&gt;""),$AA$39,IF($S$39=LB$11,$AB$39,""))))</f>
        <v/>
      </c>
      <c r="LE71" s="880" t="str">
        <f t="shared" si="224"/>
        <v/>
      </c>
      <c r="LF71" s="873" t="str">
        <f t="shared" si="225"/>
        <v/>
      </c>
      <c r="LG71" s="870" t="str">
        <f>IF($AC$36="","",IF(AND($S$39=LE$11,$U$39&lt;&gt;""),$U$39,IF(AND($S$39=LE$11,$AA$39&lt;&gt;""),$AA$39,IF($S$39=LE$11,$AB$39,""))))</f>
        <v/>
      </c>
      <c r="LH71"/>
      <c r="LI71"/>
      <c r="LJ71"/>
      <c r="LK71"/>
      <c r="LL71"/>
      <c r="LM71"/>
    </row>
    <row r="72" spans="4:325">
      <c r="D72" s="8"/>
      <c r="E72" s="8"/>
      <c r="F72" s="8"/>
      <c r="G72" s="8"/>
      <c r="H72" s="8"/>
      <c r="M72" s="8"/>
      <c r="N72" s="8"/>
      <c r="S72" s="8"/>
      <c r="T72" s="8"/>
      <c r="U72" s="8"/>
      <c r="V72" s="8"/>
      <c r="W72" s="8"/>
      <c r="AH72" s="8"/>
      <c r="AI72" s="8"/>
      <c r="AJ72" s="8"/>
      <c r="AK72" s="8"/>
      <c r="BJ72" s="8"/>
      <c r="BY72" s="8"/>
      <c r="BZ72" s="8"/>
      <c r="CC72" s="8"/>
      <c r="CD72" s="8"/>
      <c r="CE72" s="8"/>
      <c r="CF72" s="8"/>
      <c r="CG72" s="762">
        <v>6</v>
      </c>
      <c r="CH72" s="13" t="str">
        <f t="shared" si="250"/>
        <v>Jan Klatovsky</v>
      </c>
      <c r="CI72" s="770">
        <f t="shared" si="251"/>
        <v>0</v>
      </c>
      <c r="DC72"/>
      <c r="DD72"/>
      <c r="DE72"/>
      <c r="DF72"/>
      <c r="DG72"/>
      <c r="DH72"/>
      <c r="DI72"/>
      <c r="EZ72" s="13">
        <f t="shared" si="245"/>
        <v>4</v>
      </c>
      <c r="FA72" s="249">
        <f t="shared" si="246"/>
        <v>4</v>
      </c>
      <c r="FB72" s="486" t="str">
        <f t="shared" si="247"/>
        <v>Igor Kononov</v>
      </c>
      <c r="FC72" s="574">
        <f t="shared" si="248"/>
        <v>0</v>
      </c>
      <c r="FD72" s="600">
        <f t="shared" si="249"/>
        <v>5.6000000000000004E-7</v>
      </c>
      <c r="GW72" s="1143">
        <v>16</v>
      </c>
      <c r="GX72" s="229" t="str">
        <f>IF($AC$40="","",IF($JB$40=$GX$3,$JC$40,IF(AND($W$40=$GX$3,$AA$40&lt;&gt;""),$AA$40,IF(AND($W$40=$GX$3,$AA$40=""),$AB$40,""))))</f>
        <v/>
      </c>
      <c r="GY72" s="299">
        <v>20</v>
      </c>
      <c r="GZ72" s="300" t="str">
        <f t="shared" si="105"/>
        <v/>
      </c>
      <c r="HA72" s="93" t="str">
        <f t="shared" si="62"/>
        <v/>
      </c>
      <c r="HB72" s="300"/>
      <c r="HC72" s="93" t="str">
        <f t="shared" si="106"/>
        <v/>
      </c>
      <c r="HG72" s="1143">
        <v>16</v>
      </c>
      <c r="HH72" s="229" t="str">
        <f>IF($AC$40="","",IF($JB$40=$HH$3,$JC$40,IF(AND($W$40=$HH$3,$AA$40&lt;&gt;""),$AA$40,IF(AND($W$40=$HH$3,$AA$40=""),$AB$40,""))))</f>
        <v/>
      </c>
      <c r="HI72" s="299">
        <v>20</v>
      </c>
      <c r="HJ72" s="300" t="str">
        <f t="shared" si="107"/>
        <v/>
      </c>
      <c r="HK72" s="93" t="str">
        <f t="shared" si="63"/>
        <v/>
      </c>
      <c r="HL72" s="300"/>
      <c r="HM72" s="93" t="str">
        <f t="shared" si="64"/>
        <v/>
      </c>
      <c r="JJ72" s="1334">
        <v>16</v>
      </c>
      <c r="JK72" s="875">
        <v>20</v>
      </c>
      <c r="JL72" s="878" t="str">
        <f t="shared" si="108"/>
        <v/>
      </c>
      <c r="JM72" s="871" t="str">
        <f t="shared" si="196"/>
        <v/>
      </c>
      <c r="JN72" s="868" t="str">
        <f>IF($AC$40="","",IF(AND($S$40=JL$11,$U$40&lt;&gt;""),$U$40,IF(AND($S$40=JL$11,$AA$40&lt;&gt;""),$AA$40,IF($S$40=JL$11,$AB$40,""))))</f>
        <v/>
      </c>
      <c r="JO72" s="878" t="str">
        <f t="shared" si="109"/>
        <v/>
      </c>
      <c r="JP72" s="871" t="str">
        <f t="shared" si="197"/>
        <v/>
      </c>
      <c r="JQ72" s="868" t="str">
        <f>IF($AC$40="","",IF(AND($S$40=JO$11,$U$40&lt;&gt;""),$U$40,IF(AND($S$40=JO$11,$AA$40&lt;&gt;""),$AA$40,IF($S$40=JO$11,$AB$40,""))))</f>
        <v/>
      </c>
      <c r="JR72" s="878" t="str">
        <f t="shared" si="198"/>
        <v/>
      </c>
      <c r="JS72" s="871" t="str">
        <f t="shared" si="199"/>
        <v/>
      </c>
      <c r="JT72" s="868" t="str">
        <f>IF($AC$40="","",IF(AND($S$40=JR$11,$U$40&lt;&gt;""),$U$40,IF(AND($S$40=JR$11,$AA$40&lt;&gt;""),$AA$40,IF($S$40=JR$11,$AB$40,""))))</f>
        <v/>
      </c>
      <c r="JU72" s="878" t="str">
        <f t="shared" si="200"/>
        <v/>
      </c>
      <c r="JV72" s="871" t="str">
        <f t="shared" si="201"/>
        <v/>
      </c>
      <c r="JW72" s="868" t="str">
        <f>IF($AC$40="","",IF(AND($S$40=JU$11,$U$40&lt;&gt;""),$U$40,IF(AND($S$40=JU$11,$AA$40&lt;&gt;""),$AA$40,IF($S$40=JU$11,$AB$40,""))))</f>
        <v/>
      </c>
      <c r="JX72" s="878" t="str">
        <f t="shared" si="202"/>
        <v/>
      </c>
      <c r="JY72" s="871" t="str">
        <f t="shared" si="203"/>
        <v/>
      </c>
      <c r="JZ72" s="868" t="str">
        <f>IF($AC$40="","",IF(AND($S$40=JX$11,$U$40&lt;&gt;""),$U$40,IF(AND($S$40=JX$11,$AA$40&lt;&gt;""),$AA$40,IF($S$40=JX$11,$AB$40,""))))</f>
        <v/>
      </c>
      <c r="KA72" s="878" t="str">
        <f t="shared" si="204"/>
        <v/>
      </c>
      <c r="KB72" s="871" t="str">
        <f t="shared" si="205"/>
        <v/>
      </c>
      <c r="KC72" s="868" t="str">
        <f>IF($AC$40="","",IF(AND($S$40=KA$11,$U$40&lt;&gt;""),$U$40,IF(AND($S$40=KA$11,$AA$40&lt;&gt;""),$AA$40,IF($S$40=KA$11,$AB$40,""))))</f>
        <v/>
      </c>
      <c r="KD72" s="878" t="str">
        <f t="shared" si="206"/>
        <v/>
      </c>
      <c r="KE72" s="871" t="str">
        <f t="shared" si="207"/>
        <v/>
      </c>
      <c r="KF72" s="868" t="str">
        <f>IF($AC$40="","",IF(AND($S$40=KD$11,$U$40&lt;&gt;""),$U$40,IF(AND($S$40=KD$11,$AA$40&lt;&gt;""),$AA$40,IF($S$40=KD$11,$AB$40,""))))</f>
        <v/>
      </c>
      <c r="KG72" s="878" t="str">
        <f t="shared" si="208"/>
        <v/>
      </c>
      <c r="KH72" s="871" t="str">
        <f t="shared" si="209"/>
        <v/>
      </c>
      <c r="KI72" s="868" t="str">
        <f>IF($AC$40="","",IF(AND($S$40=KG$11,$U$40&lt;&gt;""),$U$40,IF(AND($S$40=KG$11,$AA$40&lt;&gt;""),$AA$40,IF($S$40=KG$11,$AB$40,""))))</f>
        <v/>
      </c>
      <c r="KJ72" s="878" t="str">
        <f t="shared" si="210"/>
        <v/>
      </c>
      <c r="KK72" s="871" t="str">
        <f t="shared" si="211"/>
        <v/>
      </c>
      <c r="KL72" s="868" t="str">
        <f>IF($AC$40="","",IF(AND($S$40=KJ$11,$U$40&lt;&gt;""),$U$40,IF(AND($S$40=KJ$11,$AA$40&lt;&gt;""),$AA$40,IF($S$40=KJ$11,$AB$40,""))))</f>
        <v/>
      </c>
      <c r="KM72" s="878" t="str">
        <f t="shared" si="212"/>
        <v/>
      </c>
      <c r="KN72" s="871" t="str">
        <f t="shared" si="213"/>
        <v/>
      </c>
      <c r="KO72" s="868" t="str">
        <f>IF($AC$40="","",IF(AND($S$40=KM$11,$U$40&lt;&gt;""),$U$40,IF(AND($S$40=KM$11,$AA$40&lt;&gt;""),$AA$40,IF($S$40=KM$11,$AB$40,""))))</f>
        <v/>
      </c>
      <c r="KP72" s="878" t="str">
        <f t="shared" si="214"/>
        <v/>
      </c>
      <c r="KQ72" s="871" t="str">
        <f t="shared" si="215"/>
        <v/>
      </c>
      <c r="KR72" s="868" t="str">
        <f>IF($AC$40="","",IF(AND($S$40=KP$11,$U$40&lt;&gt;""),$U$40,IF(AND($S$40=KP$11,$AA$40&lt;&gt;""),$AA$40,IF($S$40=KP$11,$AB$40,""))))</f>
        <v/>
      </c>
      <c r="KS72" s="878" t="str">
        <f t="shared" si="216"/>
        <v/>
      </c>
      <c r="KT72" s="871" t="str">
        <f t="shared" si="217"/>
        <v/>
      </c>
      <c r="KU72" s="868" t="str">
        <f>IF($AC$40="","",IF(AND($S$40=KS$11,$U$40&lt;&gt;""),$U$40,IF(AND($S$40=KS$11,$AA$40&lt;&gt;""),$AA$40,IF($S$40=KS$11,$AB$40,""))))</f>
        <v/>
      </c>
      <c r="KV72" s="878" t="str">
        <f t="shared" si="218"/>
        <v/>
      </c>
      <c r="KW72" s="871" t="str">
        <f t="shared" si="219"/>
        <v/>
      </c>
      <c r="KX72" s="868" t="str">
        <f>IF($AC$40="","",IF(AND($S$40=KV$11,$U$40&lt;&gt;""),$U$40,IF(AND($S$40=KV$11,$AA$40&lt;&gt;""),$AA$40,IF($S$40=KV$11,$AB$40,""))))</f>
        <v/>
      </c>
      <c r="KY72" s="878" t="str">
        <f t="shared" si="220"/>
        <v/>
      </c>
      <c r="KZ72" s="871" t="str">
        <f t="shared" si="221"/>
        <v/>
      </c>
      <c r="LA72" s="868" t="str">
        <f>IF($AC$40="","",IF(AND($S$40=KY$11,$U$40&lt;&gt;""),$U$40,IF(AND($S$40=KY$11,$AA$40&lt;&gt;""),$AA$40,IF($S$40=KY$11,$AB$40,""))))</f>
        <v/>
      </c>
      <c r="LB72" s="878" t="str">
        <f t="shared" si="222"/>
        <v/>
      </c>
      <c r="LC72" s="871" t="str">
        <f t="shared" si="223"/>
        <v/>
      </c>
      <c r="LD72" s="868" t="str">
        <f>IF($AC$40="","",IF(AND($S$40=LB$11,$U$40&lt;&gt;""),$U$40,IF(AND($S$40=LB$11,$AA$40&lt;&gt;""),$AA$40,IF($S$40=LB$11,$AB$40,""))))</f>
        <v/>
      </c>
      <c r="LE72" s="878" t="str">
        <f t="shared" si="224"/>
        <v/>
      </c>
      <c r="LF72" s="871" t="str">
        <f t="shared" si="225"/>
        <v/>
      </c>
      <c r="LG72" s="868" t="str">
        <f>IF($AC$40="","",IF(AND($S$40=LE$11,$U$40&lt;&gt;""),$U$40,IF(AND($S$40=LE$11,$AA$40&lt;&gt;""),$AA$40,IF($S$40=LE$11,$AB$40,""))))</f>
        <v/>
      </c>
      <c r="LH72"/>
      <c r="LI72"/>
      <c r="LJ72"/>
      <c r="LK72"/>
      <c r="LL72"/>
      <c r="LM72"/>
    </row>
    <row r="73" spans="4:325">
      <c r="D73" s="8"/>
      <c r="E73" s="8"/>
      <c r="F73" s="8"/>
      <c r="G73" s="8"/>
      <c r="H73" s="8"/>
      <c r="M73" s="8"/>
      <c r="N73" s="8"/>
      <c r="S73" s="8"/>
      <c r="T73" s="8"/>
      <c r="U73" s="8"/>
      <c r="V73" s="8"/>
      <c r="W73" s="8"/>
      <c r="AH73" s="8"/>
      <c r="AI73" s="8"/>
      <c r="AJ73" s="8"/>
      <c r="AK73" s="8"/>
      <c r="BJ73" s="8"/>
      <c r="BY73" s="8"/>
      <c r="BZ73" s="8"/>
      <c r="CC73" s="8"/>
      <c r="CD73" s="8"/>
      <c r="CE73" s="8"/>
      <c r="CF73" s="8"/>
      <c r="CG73" s="762">
        <v>7</v>
      </c>
      <c r="CH73" s="13" t="str">
        <f t="shared" si="250"/>
        <v>Gunter Bauer</v>
      </c>
      <c r="CI73" s="770">
        <f t="shared" si="251"/>
        <v>0</v>
      </c>
      <c r="EZ73" s="13">
        <f t="shared" si="245"/>
        <v>7</v>
      </c>
      <c r="FA73" s="249">
        <f t="shared" si="246"/>
        <v>7</v>
      </c>
      <c r="FB73" s="486" t="str">
        <f t="shared" si="247"/>
        <v>Gunter Bauer</v>
      </c>
      <c r="FC73" s="574">
        <f t="shared" si="248"/>
        <v>0</v>
      </c>
      <c r="FD73" s="600">
        <f t="shared" si="249"/>
        <v>5.3000000000000001E-7</v>
      </c>
      <c r="GW73" s="1144"/>
      <c r="GX73" s="230" t="str">
        <f>IF($AC$40="","",IF($JB$41=$GX$3,$JC$41,IF(AND($W$41=$GX$3,$AA$41&lt;&gt;""),$AA$41,IF(AND($W$41=$GX$3,$AA$41=""),$AB$41,""))))</f>
        <v/>
      </c>
      <c r="GY73" s="301">
        <v>19</v>
      </c>
      <c r="GZ73" s="5" t="str">
        <f t="shared" si="105"/>
        <v/>
      </c>
      <c r="HA73" s="95" t="str">
        <f t="shared" si="62"/>
        <v/>
      </c>
      <c r="HB73" s="5"/>
      <c r="HC73" s="95" t="str">
        <f t="shared" si="106"/>
        <v/>
      </c>
      <c r="HG73" s="1144"/>
      <c r="HH73" s="230" t="str">
        <f>IF($AC$40="","",IF($JB$41=$HH$3,$JC$41,IF(AND($W$41=$HH$3,$AA$41&lt;&gt;""),$AA$41,IF(AND($W$41=$HH$3,$AA$41=""),$AB$41,""))))</f>
        <v/>
      </c>
      <c r="HI73" s="301">
        <v>19</v>
      </c>
      <c r="HJ73" s="5" t="str">
        <f t="shared" si="107"/>
        <v/>
      </c>
      <c r="HK73" s="95" t="str">
        <f t="shared" si="63"/>
        <v/>
      </c>
      <c r="HL73" s="5"/>
      <c r="HM73" s="95" t="str">
        <f t="shared" si="64"/>
        <v/>
      </c>
      <c r="JJ73" s="1335"/>
      <c r="JK73" s="876">
        <v>19</v>
      </c>
      <c r="JL73" s="879" t="str">
        <f t="shared" si="108"/>
        <v/>
      </c>
      <c r="JM73" s="662" t="str">
        <f t="shared" si="196"/>
        <v/>
      </c>
      <c r="JN73" s="869" t="str">
        <f>IF($AC$40="","",IF(AND($S$41=JL$11,$U$41&lt;&gt;""),$U$41,IF(AND($S$41=JL$11,$AA$41&lt;&gt;""),$AA$41,IF($S$41=JL$11,$AB$41,""))))</f>
        <v/>
      </c>
      <c r="JO73" s="879" t="str">
        <f t="shared" si="109"/>
        <v/>
      </c>
      <c r="JP73" s="662" t="str">
        <f t="shared" si="197"/>
        <v/>
      </c>
      <c r="JQ73" s="869" t="str">
        <f>IF($AC$40="","",IF(AND($S$41=JO$11,$U$41&lt;&gt;""),$U$41,IF(AND($S$41=JO$11,$AA$41&lt;&gt;""),$AA$41,IF($S$41=JO$11,$AB$41,""))))</f>
        <v/>
      </c>
      <c r="JR73" s="879" t="str">
        <f t="shared" si="198"/>
        <v/>
      </c>
      <c r="JS73" s="662" t="str">
        <f t="shared" si="199"/>
        <v/>
      </c>
      <c r="JT73" s="869" t="str">
        <f>IF($AC$40="","",IF(AND($S$41=JR$11,$U$41&lt;&gt;""),$U$41,IF(AND($S$41=JR$11,$AA$41&lt;&gt;""),$AA$41,IF($S$41=JR$11,$AB$41,""))))</f>
        <v/>
      </c>
      <c r="JU73" s="879" t="str">
        <f t="shared" si="200"/>
        <v/>
      </c>
      <c r="JV73" s="662" t="str">
        <f t="shared" si="201"/>
        <v/>
      </c>
      <c r="JW73" s="869" t="str">
        <f>IF($AC$40="","",IF(AND($S$41=JU$11,$U$41&lt;&gt;""),$U$41,IF(AND($S$41=JU$11,$AA$41&lt;&gt;""),$AA$41,IF($S$41=JU$11,$AB$41,""))))</f>
        <v/>
      </c>
      <c r="JX73" s="879" t="str">
        <f t="shared" si="202"/>
        <v/>
      </c>
      <c r="JY73" s="662" t="str">
        <f t="shared" si="203"/>
        <v/>
      </c>
      <c r="JZ73" s="869" t="str">
        <f>IF($AC$40="","",IF(AND($S$41=JX$11,$U$41&lt;&gt;""),$U$41,IF(AND($S$41=JX$11,$AA$41&lt;&gt;""),$AA$41,IF($S$41=JX$11,$AB$41,""))))</f>
        <v/>
      </c>
      <c r="KA73" s="879" t="str">
        <f t="shared" si="204"/>
        <v/>
      </c>
      <c r="KB73" s="662" t="str">
        <f t="shared" si="205"/>
        <v/>
      </c>
      <c r="KC73" s="869" t="str">
        <f>IF($AC$40="","",IF(AND($S$41=KA$11,$U$41&lt;&gt;""),$U$41,IF(AND($S$41=KA$11,$AA$41&lt;&gt;""),$AA$41,IF($S$41=KA$11,$AB$41,""))))</f>
        <v/>
      </c>
      <c r="KD73" s="879" t="str">
        <f t="shared" si="206"/>
        <v/>
      </c>
      <c r="KE73" s="662" t="str">
        <f t="shared" si="207"/>
        <v/>
      </c>
      <c r="KF73" s="869" t="str">
        <f>IF($AC$40="","",IF(AND($S$41=KD$11,$U$41&lt;&gt;""),$U$41,IF(AND($S$41=KD$11,$AA$41&lt;&gt;""),$AA$41,IF($S$41=KD$11,$AB$41,""))))</f>
        <v/>
      </c>
      <c r="KG73" s="879" t="str">
        <f t="shared" si="208"/>
        <v/>
      </c>
      <c r="KH73" s="662" t="str">
        <f t="shared" si="209"/>
        <v/>
      </c>
      <c r="KI73" s="869" t="str">
        <f>IF($AC$40="","",IF(AND($S$41=KG$11,$U$41&lt;&gt;""),$U$41,IF(AND($S$41=KG$11,$AA$41&lt;&gt;""),$AA$41,IF($S$41=KG$11,$AB$41,""))))</f>
        <v/>
      </c>
      <c r="KJ73" s="879" t="str">
        <f t="shared" si="210"/>
        <v/>
      </c>
      <c r="KK73" s="662" t="str">
        <f t="shared" si="211"/>
        <v/>
      </c>
      <c r="KL73" s="869" t="str">
        <f>IF($AC$40="","",IF(AND($S$41=KJ$11,$U$41&lt;&gt;""),$U$41,IF(AND($S$41=KJ$11,$AA$41&lt;&gt;""),$AA$41,IF($S$41=KJ$11,$AB$41,""))))</f>
        <v/>
      </c>
      <c r="KM73" s="879" t="str">
        <f t="shared" si="212"/>
        <v/>
      </c>
      <c r="KN73" s="662" t="str">
        <f t="shared" si="213"/>
        <v/>
      </c>
      <c r="KO73" s="869" t="str">
        <f>IF($AC$40="","",IF(AND($S$41=KM$11,$U$41&lt;&gt;""),$U$41,IF(AND($S$41=KM$11,$AA$41&lt;&gt;""),$AA$41,IF($S$41=KM$11,$AB$41,""))))</f>
        <v/>
      </c>
      <c r="KP73" s="879" t="str">
        <f t="shared" si="214"/>
        <v/>
      </c>
      <c r="KQ73" s="662" t="str">
        <f t="shared" si="215"/>
        <v/>
      </c>
      <c r="KR73" s="869" t="str">
        <f>IF($AC$40="","",IF(AND($S$41=KP$11,$U$41&lt;&gt;""),$U$41,IF(AND($S$41=KP$11,$AA$41&lt;&gt;""),$AA$41,IF($S$41=KP$11,$AB$41,""))))</f>
        <v/>
      </c>
      <c r="KS73" s="879" t="str">
        <f t="shared" si="216"/>
        <v/>
      </c>
      <c r="KT73" s="662" t="str">
        <f t="shared" si="217"/>
        <v/>
      </c>
      <c r="KU73" s="869" t="str">
        <f>IF($AC$40="","",IF(AND($S$41=KS$11,$U$41&lt;&gt;""),$U$41,IF(AND($S$41=KS$11,$AA$41&lt;&gt;""),$AA$41,IF($S$41=KS$11,$AB$41,""))))</f>
        <v/>
      </c>
      <c r="KV73" s="879" t="str">
        <f t="shared" si="218"/>
        <v/>
      </c>
      <c r="KW73" s="662" t="str">
        <f t="shared" si="219"/>
        <v/>
      </c>
      <c r="KX73" s="869" t="str">
        <f>IF($AC$40="","",IF(AND($S$41=KV$11,$U$41&lt;&gt;""),$U$41,IF(AND($S$41=KV$11,$AA$41&lt;&gt;""),$AA$41,IF($S$41=KV$11,$AB$41,""))))</f>
        <v/>
      </c>
      <c r="KY73" s="879" t="str">
        <f t="shared" si="220"/>
        <v/>
      </c>
      <c r="KZ73" s="662" t="str">
        <f t="shared" si="221"/>
        <v/>
      </c>
      <c r="LA73" s="869" t="str">
        <f>IF($AC$40="","",IF(AND($S$41=KY$11,$U$41&lt;&gt;""),$U$41,IF(AND($S$41=KY$11,$AA$41&lt;&gt;""),$AA$41,IF($S$41=KY$11,$AB$41,""))))</f>
        <v/>
      </c>
      <c r="LB73" s="879" t="str">
        <f t="shared" si="222"/>
        <v/>
      </c>
      <c r="LC73" s="662" t="str">
        <f t="shared" si="223"/>
        <v/>
      </c>
      <c r="LD73" s="869" t="str">
        <f>IF($AC$40="","",IF(AND($S$41=LB$11,$U$41&lt;&gt;""),$U$41,IF(AND($S$41=LB$11,$AA$41&lt;&gt;""),$AA$41,IF($S$41=LB$11,$AB$41,""))))</f>
        <v/>
      </c>
      <c r="LE73" s="879" t="str">
        <f t="shared" si="224"/>
        <v/>
      </c>
      <c r="LF73" s="662" t="str">
        <f t="shared" si="225"/>
        <v/>
      </c>
      <c r="LG73" s="869" t="str">
        <f>IF($AC$40="","",IF(AND($S$41=LE$11,$U$41&lt;&gt;""),$U$41,IF(AND($S$41=LE$11,$AA$41&lt;&gt;""),$AA$41,IF($S$41=LE$11,$AB$41,""))))</f>
        <v/>
      </c>
      <c r="LH73"/>
      <c r="LI73"/>
      <c r="LJ73"/>
      <c r="LK73"/>
      <c r="LL73"/>
      <c r="LM73"/>
    </row>
    <row r="74" spans="4:325">
      <c r="D74" s="8"/>
      <c r="E74" s="8"/>
      <c r="F74" s="8"/>
      <c r="G74" s="8"/>
      <c r="H74" s="8"/>
      <c r="M74" s="8"/>
      <c r="N74" s="8"/>
      <c r="S74" s="8"/>
      <c r="T74" s="8"/>
      <c r="U74" s="8"/>
      <c r="V74" s="8"/>
      <c r="W74" s="8"/>
      <c r="AH74" s="8"/>
      <c r="AI74" s="8"/>
      <c r="AJ74" s="8"/>
      <c r="AK74" s="8"/>
      <c r="BJ74" s="8"/>
      <c r="BY74" s="8"/>
      <c r="BZ74" s="8"/>
      <c r="CC74" s="8"/>
      <c r="CD74" s="8"/>
      <c r="CE74" s="8"/>
      <c r="CF74" s="8"/>
      <c r="CG74" s="762">
        <v>8</v>
      </c>
      <c r="CH74" s="13" t="str">
        <f t="shared" si="250"/>
        <v>Stefan Pletschacher</v>
      </c>
      <c r="CI74" s="770">
        <f t="shared" si="251"/>
        <v>0</v>
      </c>
      <c r="EZ74" s="13">
        <f t="shared" si="245"/>
        <v>1</v>
      </c>
      <c r="FA74" s="249">
        <f t="shared" si="246"/>
        <v>1</v>
      </c>
      <c r="FB74" s="486" t="str">
        <f t="shared" si="247"/>
        <v>Daniil Ivanov</v>
      </c>
      <c r="FC74" s="574">
        <f t="shared" si="248"/>
        <v>0</v>
      </c>
      <c r="FD74" s="600">
        <f t="shared" si="249"/>
        <v>5.8999999999999996E-7</v>
      </c>
      <c r="GW74" s="1144"/>
      <c r="GX74" s="230" t="str">
        <f>IF($AC$40="","",IF($JB$42=$GX$3,$JC$42,IF(AND($W$42=$GX$3,$AA$42&lt;&gt;""),$AA$42,IF(AND($W$42=$GX$3,$AA$42=""),$AB$42,""))))</f>
        <v/>
      </c>
      <c r="GY74" s="301">
        <v>18</v>
      </c>
      <c r="GZ74" s="5" t="str">
        <f t="shared" si="105"/>
        <v/>
      </c>
      <c r="HA74" s="95" t="str">
        <f t="shared" si="62"/>
        <v/>
      </c>
      <c r="HB74" s="5"/>
      <c r="HC74" s="95" t="str">
        <f t="shared" si="106"/>
        <v/>
      </c>
      <c r="HG74" s="1144"/>
      <c r="HH74" s="230" t="str">
        <f>IF($AC$40="","",IF($JB$42=$HH$3,$JC$42,IF(AND($W$42=$HH$3,$AA$42&lt;&gt;""),$AA$42,IF(AND($W$42=$HH$3,$AA$42=""),$AB$42,""))))</f>
        <v/>
      </c>
      <c r="HI74" s="301">
        <v>18</v>
      </c>
      <c r="HJ74" s="5" t="str">
        <f t="shared" si="107"/>
        <v/>
      </c>
      <c r="HK74" s="95" t="str">
        <f t="shared" si="63"/>
        <v/>
      </c>
      <c r="HL74" s="5"/>
      <c r="HM74" s="95" t="str">
        <f t="shared" si="64"/>
        <v/>
      </c>
      <c r="JJ74" s="1335"/>
      <c r="JK74" s="876">
        <v>18</v>
      </c>
      <c r="JL74" s="879" t="str">
        <f t="shared" si="108"/>
        <v/>
      </c>
      <c r="JM74" s="662" t="str">
        <f t="shared" si="196"/>
        <v/>
      </c>
      <c r="JN74" s="869" t="str">
        <f>IF($AC$40="","",IF(AND($S$42=JL$11,$U$42&lt;&gt;""),$U$42,IF(AND($S$42=JL$11,$AA$42&lt;&gt;""),$AA$42,IF($S$42=JL$11,$AB$42,""))))</f>
        <v/>
      </c>
      <c r="JO74" s="879" t="str">
        <f t="shared" si="109"/>
        <v/>
      </c>
      <c r="JP74" s="662" t="str">
        <f t="shared" si="197"/>
        <v/>
      </c>
      <c r="JQ74" s="869" t="str">
        <f>IF($AC$40="","",IF(AND($S$42=JO$11,$U$42&lt;&gt;""),$U$42,IF(AND($S$42=JO$11,$AA$42&lt;&gt;""),$AA$42,IF($S$42=JO$11,$AB$42,""))))</f>
        <v/>
      </c>
      <c r="JR74" s="879" t="str">
        <f t="shared" si="198"/>
        <v/>
      </c>
      <c r="JS74" s="662" t="str">
        <f t="shared" si="199"/>
        <v/>
      </c>
      <c r="JT74" s="869" t="str">
        <f>IF($AC$40="","",IF(AND($S$42=JR$11,$U$42&lt;&gt;""),$U$42,IF(AND($S$42=JR$11,$AA$42&lt;&gt;""),$AA$42,IF($S$42=JR$11,$AB$42,""))))</f>
        <v/>
      </c>
      <c r="JU74" s="879" t="str">
        <f t="shared" si="200"/>
        <v/>
      </c>
      <c r="JV74" s="662" t="str">
        <f t="shared" si="201"/>
        <v/>
      </c>
      <c r="JW74" s="869" t="str">
        <f>IF($AC$40="","",IF(AND($S$42=JU$11,$U$42&lt;&gt;""),$U$42,IF(AND($S$42=JU$11,$AA$42&lt;&gt;""),$AA$42,IF($S$42=JU$11,$AB$42,""))))</f>
        <v/>
      </c>
      <c r="JX74" s="879" t="str">
        <f t="shared" si="202"/>
        <v/>
      </c>
      <c r="JY74" s="662" t="str">
        <f t="shared" si="203"/>
        <v/>
      </c>
      <c r="JZ74" s="869" t="str">
        <f>IF($AC$40="","",IF(AND($S$42=JX$11,$U$42&lt;&gt;""),$U$42,IF(AND($S$42=JX$11,$AA$42&lt;&gt;""),$AA$42,IF($S$42=JX$11,$AB$42,""))))</f>
        <v/>
      </c>
      <c r="KA74" s="879" t="str">
        <f t="shared" si="204"/>
        <v/>
      </c>
      <c r="KB74" s="662" t="str">
        <f t="shared" si="205"/>
        <v/>
      </c>
      <c r="KC74" s="869" t="str">
        <f>IF($AC$40="","",IF(AND($S$42=KA$11,$U$42&lt;&gt;""),$U$42,IF(AND($S$42=KA$11,$AA$42&lt;&gt;""),$AA$42,IF($S$42=KA$11,$AB$42,""))))</f>
        <v/>
      </c>
      <c r="KD74" s="879" t="str">
        <f t="shared" si="206"/>
        <v/>
      </c>
      <c r="KE74" s="662" t="str">
        <f t="shared" si="207"/>
        <v/>
      </c>
      <c r="KF74" s="869" t="str">
        <f>IF($AC$40="","",IF(AND($S$42=KD$11,$U$42&lt;&gt;""),$U$42,IF(AND($S$42=KD$11,$AA$42&lt;&gt;""),$AA$42,IF($S$42=KD$11,$AB$42,""))))</f>
        <v/>
      </c>
      <c r="KG74" s="879" t="str">
        <f t="shared" si="208"/>
        <v/>
      </c>
      <c r="KH74" s="662" t="str">
        <f t="shared" si="209"/>
        <v/>
      </c>
      <c r="KI74" s="869" t="str">
        <f>IF($AC$40="","",IF(AND($S$42=KG$11,$U$42&lt;&gt;""),$U$42,IF(AND($S$42=KG$11,$AA$42&lt;&gt;""),$AA$42,IF($S$42=KG$11,$AB$42,""))))</f>
        <v/>
      </c>
      <c r="KJ74" s="879" t="str">
        <f t="shared" si="210"/>
        <v/>
      </c>
      <c r="KK74" s="662" t="str">
        <f t="shared" si="211"/>
        <v/>
      </c>
      <c r="KL74" s="869" t="str">
        <f>IF($AC$40="","",IF(AND($S$42=KJ$11,$U$42&lt;&gt;""),$U$42,IF(AND($S$42=KJ$11,$AA$42&lt;&gt;""),$AA$42,IF($S$42=KJ$11,$AB$42,""))))</f>
        <v/>
      </c>
      <c r="KM74" s="879" t="str">
        <f t="shared" si="212"/>
        <v/>
      </c>
      <c r="KN74" s="662" t="str">
        <f t="shared" si="213"/>
        <v/>
      </c>
      <c r="KO74" s="869" t="str">
        <f>IF($AC$40="","",IF(AND($S$42=KM$11,$U$42&lt;&gt;""),$U$42,IF(AND($S$42=KM$11,$AA$42&lt;&gt;""),$AA$42,IF($S$42=KM$11,$AB$42,""))))</f>
        <v/>
      </c>
      <c r="KP74" s="879" t="str">
        <f t="shared" si="214"/>
        <v/>
      </c>
      <c r="KQ74" s="662" t="str">
        <f t="shared" si="215"/>
        <v/>
      </c>
      <c r="KR74" s="869" t="str">
        <f>IF($AC$40="","",IF(AND($S$42=KP$11,$U$42&lt;&gt;""),$U$42,IF(AND($S$42=KP$11,$AA$42&lt;&gt;""),$AA$42,IF($S$42=KP$11,$AB$42,""))))</f>
        <v/>
      </c>
      <c r="KS74" s="879" t="str">
        <f t="shared" si="216"/>
        <v/>
      </c>
      <c r="KT74" s="662" t="str">
        <f t="shared" si="217"/>
        <v/>
      </c>
      <c r="KU74" s="869" t="str">
        <f>IF($AC$40="","",IF(AND($S$42=KS$11,$U$42&lt;&gt;""),$U$42,IF(AND($S$42=KS$11,$AA$42&lt;&gt;""),$AA$42,IF($S$42=KS$11,$AB$42,""))))</f>
        <v/>
      </c>
      <c r="KV74" s="879" t="str">
        <f t="shared" si="218"/>
        <v/>
      </c>
      <c r="KW74" s="662" t="str">
        <f t="shared" si="219"/>
        <v/>
      </c>
      <c r="KX74" s="869" t="str">
        <f>IF($AC$40="","",IF(AND($S$42=KV$11,$U$42&lt;&gt;""),$U$42,IF(AND($S$42=KV$11,$AA$42&lt;&gt;""),$AA$42,IF($S$42=KV$11,$AB$42,""))))</f>
        <v/>
      </c>
      <c r="KY74" s="879" t="str">
        <f t="shared" si="220"/>
        <v/>
      </c>
      <c r="KZ74" s="662" t="str">
        <f t="shared" si="221"/>
        <v/>
      </c>
      <c r="LA74" s="869" t="str">
        <f>IF($AC$40="","",IF(AND($S$42=KY$11,$U$42&lt;&gt;""),$U$42,IF(AND($S$42=KY$11,$AA$42&lt;&gt;""),$AA$42,IF($S$42=KY$11,$AB$42,""))))</f>
        <v/>
      </c>
      <c r="LB74" s="879" t="str">
        <f t="shared" si="222"/>
        <v/>
      </c>
      <c r="LC74" s="662" t="str">
        <f t="shared" si="223"/>
        <v/>
      </c>
      <c r="LD74" s="869" t="str">
        <f>IF($AC$40="","",IF(AND($S$42=LB$11,$U$42&lt;&gt;""),$U$42,IF(AND($S$42=LB$11,$AA$42&lt;&gt;""),$AA$42,IF($S$42=LB$11,$AB$42,""))))</f>
        <v/>
      </c>
      <c r="LE74" s="879" t="str">
        <f t="shared" si="224"/>
        <v/>
      </c>
      <c r="LF74" s="662" t="str">
        <f t="shared" si="225"/>
        <v/>
      </c>
      <c r="LG74" s="869" t="str">
        <f>IF($AC$40="","",IF(AND($S$42=LE$11,$U$42&lt;&gt;""),$U$42,IF(AND($S$42=LE$11,$AA$42&lt;&gt;""),$AA$42,IF($S$42=LE$11,$AB$42,""))))</f>
        <v/>
      </c>
      <c r="LH74"/>
      <c r="LI74"/>
      <c r="LJ74"/>
      <c r="LK74"/>
      <c r="LL74"/>
      <c r="LM74"/>
    </row>
    <row r="75" spans="4:325" ht="13.5" thickBot="1">
      <c r="D75" s="8"/>
      <c r="E75" s="8"/>
      <c r="F75" s="8"/>
      <c r="G75" s="8"/>
      <c r="H75" s="8"/>
      <c r="M75" s="8"/>
      <c r="N75" s="8"/>
      <c r="S75" s="8"/>
      <c r="T75" s="8"/>
      <c r="U75" s="8"/>
      <c r="V75" s="8"/>
      <c r="W75" s="8"/>
      <c r="AH75" s="8"/>
      <c r="AI75" s="8"/>
      <c r="AJ75" s="8"/>
      <c r="AK75" s="8"/>
      <c r="BJ75" s="8"/>
      <c r="BY75" s="8"/>
      <c r="BZ75" s="8"/>
      <c r="CC75" s="8"/>
      <c r="CD75" s="8"/>
      <c r="CE75" s="8"/>
      <c r="CF75" s="8"/>
      <c r="CG75" s="762">
        <v>9</v>
      </c>
      <c r="CH75" s="13" t="str">
        <f t="shared" si="250"/>
        <v>Per-Anders Lindstrom</v>
      </c>
      <c r="CI75" s="770">
        <f t="shared" si="251"/>
        <v>0</v>
      </c>
      <c r="EZ75" s="13">
        <f t="shared" si="245"/>
        <v>12</v>
      </c>
      <c r="FA75" s="249">
        <f t="shared" si="246"/>
        <v>12</v>
      </c>
      <c r="FB75" s="486" t="str">
        <f t="shared" si="247"/>
        <v>Hans Weber</v>
      </c>
      <c r="FC75" s="574">
        <f t="shared" si="248"/>
        <v>0</v>
      </c>
      <c r="FD75" s="600">
        <f t="shared" si="249"/>
        <v>4.7999999999999996E-7</v>
      </c>
      <c r="GW75" s="1145"/>
      <c r="GX75" s="231" t="str">
        <f>IF($AC$40="","",IF($JB$43=$GX$3,$JC$43,IF(AND($W$43=$GX$3,$AA$43&lt;&gt;""),$AA$43,IF(AND($W$43=$GX$3,$AA$43=""),$AB$43,""))))</f>
        <v/>
      </c>
      <c r="GY75" s="302">
        <v>17</v>
      </c>
      <c r="GZ75" s="303" t="str">
        <f t="shared" si="105"/>
        <v/>
      </c>
      <c r="HA75" s="98" t="str">
        <f t="shared" si="62"/>
        <v/>
      </c>
      <c r="HB75" s="303"/>
      <c r="HC75" s="98" t="str">
        <f t="shared" si="106"/>
        <v/>
      </c>
      <c r="HG75" s="1145"/>
      <c r="HH75" s="231" t="str">
        <f>IF($AC$40="","",IF($JB$43=$HH$3,$JC$43,IF(AND($W$43=$HH$3,$AA$43&lt;&gt;""),$AA$43,IF(AND($W$43=$HH$3,$AA$43=""),$AB$43,""))))</f>
        <v/>
      </c>
      <c r="HI75" s="302">
        <v>17</v>
      </c>
      <c r="HJ75" s="303" t="str">
        <f t="shared" si="107"/>
        <v/>
      </c>
      <c r="HK75" s="98" t="str">
        <f t="shared" si="63"/>
        <v/>
      </c>
      <c r="HL75" s="303"/>
      <c r="HM75" s="98" t="str">
        <f t="shared" si="64"/>
        <v/>
      </c>
      <c r="JJ75" s="1336"/>
      <c r="JK75" s="877">
        <v>17</v>
      </c>
      <c r="JL75" s="880" t="str">
        <f t="shared" si="108"/>
        <v/>
      </c>
      <c r="JM75" s="873" t="str">
        <f t="shared" si="196"/>
        <v/>
      </c>
      <c r="JN75" s="870" t="str">
        <f>IF($AC$40="","",IF(AND($S$43=JL$11,$U$43&lt;&gt;""),$U$43,IF(AND($S$43=JL$11,$AA$43&lt;&gt;""),$AA$43,IF($S$43=JL$11,$AB$43,""))))</f>
        <v/>
      </c>
      <c r="JO75" s="880" t="str">
        <f t="shared" si="109"/>
        <v/>
      </c>
      <c r="JP75" s="873" t="str">
        <f t="shared" si="197"/>
        <v/>
      </c>
      <c r="JQ75" s="870" t="str">
        <f>IF($AC$40="","",IF(AND($S$43=JO$11,$U$43&lt;&gt;""),$U$43,IF(AND($S$43=JO$11,$AA$43&lt;&gt;""),$AA$43,IF($S$43=JO$11,$AB$43,""))))</f>
        <v/>
      </c>
      <c r="JR75" s="880" t="str">
        <f t="shared" si="198"/>
        <v/>
      </c>
      <c r="JS75" s="873" t="str">
        <f t="shared" si="199"/>
        <v/>
      </c>
      <c r="JT75" s="870" t="str">
        <f>IF($AC$40="","",IF(AND($S$43=JR$11,$U$43&lt;&gt;""),$U$43,IF(AND($S$43=JR$11,$AA$43&lt;&gt;""),$AA$43,IF($S$43=JR$11,$AB$43,""))))</f>
        <v/>
      </c>
      <c r="JU75" s="880" t="str">
        <f t="shared" si="200"/>
        <v/>
      </c>
      <c r="JV75" s="873" t="str">
        <f t="shared" si="201"/>
        <v/>
      </c>
      <c r="JW75" s="870" t="str">
        <f>IF($AC$40="","",IF(AND($S$43=JU$11,$U$43&lt;&gt;""),$U$43,IF(AND($S$43=JU$11,$AA$43&lt;&gt;""),$AA$43,IF($S$43=JU$11,$AB$43,""))))</f>
        <v/>
      </c>
      <c r="JX75" s="880" t="str">
        <f t="shared" si="202"/>
        <v/>
      </c>
      <c r="JY75" s="873" t="str">
        <f t="shared" si="203"/>
        <v/>
      </c>
      <c r="JZ75" s="870" t="str">
        <f>IF($AC$40="","",IF(AND($S$43=JX$11,$U$43&lt;&gt;""),$U$43,IF(AND($S$43=JX$11,$AA$43&lt;&gt;""),$AA$43,IF($S$43=JX$11,$AB$43,""))))</f>
        <v/>
      </c>
      <c r="KA75" s="880" t="str">
        <f t="shared" si="204"/>
        <v/>
      </c>
      <c r="KB75" s="873" t="str">
        <f t="shared" si="205"/>
        <v/>
      </c>
      <c r="KC75" s="870" t="str">
        <f>IF($AC$40="","",IF(AND($S$43=KA$11,$U$43&lt;&gt;""),$U$43,IF(AND($S$43=KA$11,$AA$43&lt;&gt;""),$AA$43,IF($S$43=KA$11,$AB$43,""))))</f>
        <v/>
      </c>
      <c r="KD75" s="880" t="str">
        <f t="shared" si="206"/>
        <v/>
      </c>
      <c r="KE75" s="873" t="str">
        <f t="shared" si="207"/>
        <v/>
      </c>
      <c r="KF75" s="870" t="str">
        <f>IF($AC$40="","",IF(AND($S$43=KD$11,$U$43&lt;&gt;""),$U$43,IF(AND($S$43=KD$11,$AA$43&lt;&gt;""),$AA$43,IF($S$43=KD$11,$AB$43,""))))</f>
        <v/>
      </c>
      <c r="KG75" s="880" t="str">
        <f t="shared" si="208"/>
        <v/>
      </c>
      <c r="KH75" s="873" t="str">
        <f t="shared" si="209"/>
        <v/>
      </c>
      <c r="KI75" s="870" t="str">
        <f>IF($AC$40="","",IF(AND($S$43=KG$11,$U$43&lt;&gt;""),$U$43,IF(AND($S$43=KG$11,$AA$43&lt;&gt;""),$AA$43,IF($S$43=KG$11,$AB$43,""))))</f>
        <v/>
      </c>
      <c r="KJ75" s="880" t="str">
        <f t="shared" si="210"/>
        <v/>
      </c>
      <c r="KK75" s="873" t="str">
        <f t="shared" si="211"/>
        <v/>
      </c>
      <c r="KL75" s="870" t="str">
        <f>IF($AC$40="","",IF(AND($S$43=KJ$11,$U$43&lt;&gt;""),$U$43,IF(AND($S$43=KJ$11,$AA$43&lt;&gt;""),$AA$43,IF($S$43=KJ$11,$AB$43,""))))</f>
        <v/>
      </c>
      <c r="KM75" s="880" t="str">
        <f t="shared" si="212"/>
        <v/>
      </c>
      <c r="KN75" s="873" t="str">
        <f t="shared" si="213"/>
        <v/>
      </c>
      <c r="KO75" s="870" t="str">
        <f>IF($AC$40="","",IF(AND($S$43=KM$11,$U$43&lt;&gt;""),$U$43,IF(AND($S$43=KM$11,$AA$43&lt;&gt;""),$AA$43,IF($S$43=KM$11,$AB$43,""))))</f>
        <v/>
      </c>
      <c r="KP75" s="880" t="str">
        <f t="shared" si="214"/>
        <v/>
      </c>
      <c r="KQ75" s="873" t="str">
        <f t="shared" si="215"/>
        <v/>
      </c>
      <c r="KR75" s="870" t="str">
        <f>IF($AC$40="","",IF(AND($S$43=KP$11,$U$43&lt;&gt;""),$U$43,IF(AND($S$43=KP$11,$AA$43&lt;&gt;""),$AA$43,IF($S$43=KP$11,$AB$43,""))))</f>
        <v/>
      </c>
      <c r="KS75" s="880" t="str">
        <f t="shared" si="216"/>
        <v/>
      </c>
      <c r="KT75" s="873" t="str">
        <f t="shared" si="217"/>
        <v/>
      </c>
      <c r="KU75" s="870" t="str">
        <f>IF($AC$40="","",IF(AND($S$43=KS$11,$U$43&lt;&gt;""),$U$43,IF(AND($S$43=KS$11,$AA$43&lt;&gt;""),$AA$43,IF($S$43=KS$11,$AB$43,""))))</f>
        <v/>
      </c>
      <c r="KV75" s="880" t="str">
        <f t="shared" si="218"/>
        <v/>
      </c>
      <c r="KW75" s="873" t="str">
        <f t="shared" si="219"/>
        <v/>
      </c>
      <c r="KX75" s="870" t="str">
        <f>IF($AC$40="","",IF(AND($S$43=KV$11,$U$43&lt;&gt;""),$U$43,IF(AND($S$43=KV$11,$AA$43&lt;&gt;""),$AA$43,IF($S$43=KV$11,$AB$43,""))))</f>
        <v/>
      </c>
      <c r="KY75" s="880" t="str">
        <f t="shared" si="220"/>
        <v/>
      </c>
      <c r="KZ75" s="873" t="str">
        <f t="shared" si="221"/>
        <v/>
      </c>
      <c r="LA75" s="870" t="str">
        <f>IF($AC$40="","",IF(AND($S$43=KY$11,$U$43&lt;&gt;""),$U$43,IF(AND($S$43=KY$11,$AA$43&lt;&gt;""),$AA$43,IF($S$43=KY$11,$AB$43,""))))</f>
        <v/>
      </c>
      <c r="LB75" s="880" t="str">
        <f t="shared" si="222"/>
        <v/>
      </c>
      <c r="LC75" s="873" t="str">
        <f t="shared" si="223"/>
        <v/>
      </c>
      <c r="LD75" s="870" t="str">
        <f>IF($AC$40="","",IF(AND($S$43=LB$11,$U$43&lt;&gt;""),$U$43,IF(AND($S$43=LB$11,$AA$43&lt;&gt;""),$AA$43,IF($S$43=LB$11,$AB$43,""))))</f>
        <v/>
      </c>
      <c r="LE75" s="880" t="str">
        <f t="shared" si="224"/>
        <v/>
      </c>
      <c r="LF75" s="873" t="str">
        <f t="shared" si="225"/>
        <v/>
      </c>
      <c r="LG75" s="870" t="str">
        <f>IF($AC$40="","",IF(AND($S$43=LE$11,$U$43&lt;&gt;""),$U$43,IF(AND($S$43=LE$11,$AA$43&lt;&gt;""),$AA$43,IF($S$43=LE$11,$AB$43,""))))</f>
        <v/>
      </c>
      <c r="LH75"/>
      <c r="LI75"/>
      <c r="LJ75"/>
      <c r="LK75"/>
      <c r="LL75"/>
      <c r="LM75"/>
    </row>
    <row r="76" spans="4:325">
      <c r="D76" s="8"/>
      <c r="E76" s="8"/>
      <c r="F76" s="8"/>
      <c r="G76" s="8"/>
      <c r="H76" s="8"/>
      <c r="M76" s="8"/>
      <c r="N76" s="8"/>
      <c r="S76" s="8"/>
      <c r="T76" s="8"/>
      <c r="U76" s="8"/>
      <c r="V76" s="8"/>
      <c r="W76" s="8"/>
      <c r="AH76" s="8"/>
      <c r="AI76" s="8"/>
      <c r="AJ76" s="8"/>
      <c r="AK76" s="8"/>
      <c r="BJ76" s="8"/>
      <c r="BY76" s="8"/>
      <c r="BZ76" s="8"/>
      <c r="CC76" s="8"/>
      <c r="CD76" s="8"/>
      <c r="CE76" s="8"/>
      <c r="CF76" s="8"/>
      <c r="CG76" s="762">
        <v>10</v>
      </c>
      <c r="CH76" s="13" t="str">
        <f t="shared" si="250"/>
        <v>Franz Zorn</v>
      </c>
      <c r="CI76" s="770">
        <f t="shared" si="251"/>
        <v>0</v>
      </c>
      <c r="EZ76" s="13">
        <f t="shared" si="245"/>
        <v>14</v>
      </c>
      <c r="FA76" s="249">
        <f t="shared" si="246"/>
        <v>14</v>
      </c>
      <c r="FB76" s="499" t="str">
        <f t="shared" si="247"/>
        <v>Harald Simon</v>
      </c>
      <c r="FC76" s="574">
        <f t="shared" si="248"/>
        <v>0</v>
      </c>
      <c r="FD76" s="600">
        <f t="shared" si="249"/>
        <v>4.4999999999999998E-7</v>
      </c>
      <c r="GW76" s="1143">
        <v>17</v>
      </c>
      <c r="GX76" s="229" t="str">
        <f>IF($AR$12="","",IF($JG$12=$GX$3,$JH$12,IF(AND($AL$12=$GX$3,$AP$12&lt;&gt;""),$AP$12,IF(AND($AL$12=$GX$3,$AP$12=""),$AQ$12,""))))</f>
        <v/>
      </c>
      <c r="GY76" s="299">
        <v>16</v>
      </c>
      <c r="GZ76" s="300" t="str">
        <f t="shared" si="105"/>
        <v/>
      </c>
      <c r="HA76" s="93" t="str">
        <f t="shared" ref="HA76:HA91" si="252">IF(GX76="","",RANK(GZ76,GZ$12:GZ$91))</f>
        <v/>
      </c>
      <c r="HB76" s="300"/>
      <c r="HC76" s="93" t="str">
        <f t="shared" si="106"/>
        <v/>
      </c>
      <c r="HG76" s="1143">
        <v>17</v>
      </c>
      <c r="HH76" s="229" t="str">
        <f>IF($AR$12="","",IF($JG$12=$HH$3,$JH$12,IF(AND($AL$12=$HH$3,$AP$12&lt;&gt;""),$AP$12,IF(AND($AL$12=$HH$3,$AP$12=""),$AQ$12,""))))</f>
        <v/>
      </c>
      <c r="HI76" s="299">
        <v>16</v>
      </c>
      <c r="HJ76" s="300" t="str">
        <f t="shared" si="107"/>
        <v/>
      </c>
      <c r="HK76" s="93" t="str">
        <f t="shared" ref="HK76:HK91" si="253">IF(HH76="","",RANK(HJ76,HJ$12:HJ$91))</f>
        <v/>
      </c>
      <c r="HL76" s="300"/>
      <c r="HM76" s="93" t="str">
        <f t="shared" ref="HM76:HM91" si="254">IF(HH76="","",HH76)</f>
        <v/>
      </c>
      <c r="JJ76" s="1334">
        <v>17</v>
      </c>
      <c r="JK76" s="875">
        <v>16</v>
      </c>
      <c r="JL76" s="878" t="str">
        <f t="shared" si="108"/>
        <v/>
      </c>
      <c r="JM76" s="871" t="str">
        <f t="shared" ref="JM76:JM91" si="255">IF(JN76="","",$JK76)</f>
        <v/>
      </c>
      <c r="JN76" s="882" t="str">
        <f>IF($AR$12="","",IF(AND($AH$12=JL$11,$AJ$12&lt;&gt;""),$AJ$12,IF(AND($AH$12=JL$11,$AP$12&lt;&gt;""),$AP$12,IF($AH$12=JL$11,$AQ$12,""))))</f>
        <v/>
      </c>
      <c r="JO76" s="878" t="str">
        <f t="shared" si="109"/>
        <v/>
      </c>
      <c r="JP76" s="871" t="str">
        <f t="shared" ref="JP76:JP91" si="256">IF(JQ76="","",$JK76)</f>
        <v/>
      </c>
      <c r="JQ76" s="882" t="str">
        <f>IF($AR$12="","",IF(AND($AH$12=JO$11,$AJ$12&lt;&gt;""),$AJ$12,IF(AND($AH$12=JO$11,$AP$12&lt;&gt;""),$AP$12,IF($AH$12=JO$11,$AQ$12,""))))</f>
        <v/>
      </c>
      <c r="JR76" s="878" t="str">
        <f t="shared" ref="JR76:JR91" si="257">IF(JS76="","",RANK(JS76,JS$12:JS$91))</f>
        <v/>
      </c>
      <c r="JS76" s="871" t="str">
        <f t="shared" ref="JS76:JS91" si="258">IF(JT76="","",$JK76)</f>
        <v/>
      </c>
      <c r="JT76" s="882" t="str">
        <f>IF($AR$12="","",IF(AND($AH$12=JR$11,$AJ$12&lt;&gt;""),$AJ$12,IF(AND($AH$12=JR$11,$AP$12&lt;&gt;""),$AP$12,IF($AH$12=JR$11,$AQ$12,""))))</f>
        <v/>
      </c>
      <c r="JU76" s="878" t="str">
        <f t="shared" ref="JU76:JU91" si="259">IF(JV76="","",RANK(JV76,JV$12:JV$91))</f>
        <v/>
      </c>
      <c r="JV76" s="871" t="str">
        <f t="shared" ref="JV76:JV91" si="260">IF(JW76="","",$JK76)</f>
        <v/>
      </c>
      <c r="JW76" s="882" t="str">
        <f>IF($AR$12="","",IF(AND($AH$12=JU$11,$AJ$12&lt;&gt;""),$AJ$12,IF(AND($AH$12=JU$11,$AP$12&lt;&gt;""),$AP$12,IF($AH$12=JU$11,$AQ$12,""))))</f>
        <v/>
      </c>
      <c r="JX76" s="878" t="str">
        <f t="shared" ref="JX76:JX91" si="261">IF(JY76="","",RANK(JY76,JY$12:JY$91))</f>
        <v/>
      </c>
      <c r="JY76" s="871" t="str">
        <f t="shared" ref="JY76:JY91" si="262">IF(JZ76="","",$JK76)</f>
        <v/>
      </c>
      <c r="JZ76" s="882" t="str">
        <f>IF($AR$12="","",IF(AND($AH$12=JX$11,$AJ$12&lt;&gt;""),$AJ$12,IF(AND($AH$12=JX$11,$AP$12&lt;&gt;""),$AP$12,IF($AH$12=JX$11,$AQ$12,""))))</f>
        <v/>
      </c>
      <c r="KA76" s="878" t="str">
        <f t="shared" ref="KA76:KA91" si="263">IF(KB76="","",RANK(KB76,KB$12:KB$91))</f>
        <v/>
      </c>
      <c r="KB76" s="871" t="str">
        <f t="shared" ref="KB76:KB91" si="264">IF(KC76="","",$JK76)</f>
        <v/>
      </c>
      <c r="KC76" s="882" t="str">
        <f>IF($AR$12="","",IF(AND($AH$12=KA$11,$AJ$12&lt;&gt;""),$AJ$12,IF(AND($AH$12=KA$11,$AP$12&lt;&gt;""),$AP$12,IF($AH$12=KA$11,$AQ$12,""))))</f>
        <v/>
      </c>
      <c r="KD76" s="878" t="str">
        <f t="shared" ref="KD76:KD91" si="265">IF(KE76="","",RANK(KE76,KE$12:KE$91))</f>
        <v/>
      </c>
      <c r="KE76" s="871" t="str">
        <f t="shared" ref="KE76:KE91" si="266">IF(KF76="","",$JK76)</f>
        <v/>
      </c>
      <c r="KF76" s="882" t="str">
        <f>IF($AR$12="","",IF(AND($AH$12=KD$11,$AJ$12&lt;&gt;""),$AJ$12,IF(AND($AH$12=KD$11,$AP$12&lt;&gt;""),$AP$12,IF($AH$12=KD$11,$AQ$12,""))))</f>
        <v/>
      </c>
      <c r="KG76" s="878" t="str">
        <f t="shared" ref="KG76:KG91" si="267">IF(KH76="","",RANK(KH76,KH$12:KH$91))</f>
        <v/>
      </c>
      <c r="KH76" s="871" t="str">
        <f t="shared" ref="KH76:KH91" si="268">IF(KI76="","",$JK76)</f>
        <v/>
      </c>
      <c r="KI76" s="882" t="str">
        <f>IF($AR$12="","",IF(AND($AH$12=KG$11,$AJ$12&lt;&gt;""),$AJ$12,IF(AND($AH$12=KG$11,$AP$12&lt;&gt;""),$AP$12,IF($AH$12=KG$11,$AQ$12,""))))</f>
        <v/>
      </c>
      <c r="KJ76" s="878" t="str">
        <f t="shared" ref="KJ76:KJ91" si="269">IF(KK76="","",RANK(KK76,KK$12:KK$91))</f>
        <v/>
      </c>
      <c r="KK76" s="871" t="str">
        <f t="shared" ref="KK76:KK91" si="270">IF(KL76="","",$JK76)</f>
        <v/>
      </c>
      <c r="KL76" s="882" t="str">
        <f>IF($AR$12="","",IF(AND($AH$12=KJ$11,$AJ$12&lt;&gt;""),$AJ$12,IF(AND($AH$12=KJ$11,$AP$12&lt;&gt;""),$AP$12,IF($AH$12=KJ$11,$AQ$12,""))))</f>
        <v/>
      </c>
      <c r="KM76" s="878" t="str">
        <f t="shared" ref="KM76:KM91" si="271">IF(KN76="","",RANK(KN76,KN$12:KN$91))</f>
        <v/>
      </c>
      <c r="KN76" s="871" t="str">
        <f t="shared" ref="KN76:KN91" si="272">IF(KO76="","",$JK76)</f>
        <v/>
      </c>
      <c r="KO76" s="882" t="str">
        <f>IF($AR$12="","",IF(AND($AH$12=KM$11,$AJ$12&lt;&gt;""),$AJ$12,IF(AND($AH$12=KM$11,$AP$12&lt;&gt;""),$AP$12,IF($AH$12=KM$11,$AQ$12,""))))</f>
        <v/>
      </c>
      <c r="KP76" s="878" t="str">
        <f t="shared" ref="KP76:KP91" si="273">IF(KQ76="","",RANK(KQ76,KQ$12:KQ$91))</f>
        <v/>
      </c>
      <c r="KQ76" s="871" t="str">
        <f t="shared" ref="KQ76:KQ91" si="274">IF(KR76="","",$JK76)</f>
        <v/>
      </c>
      <c r="KR76" s="882" t="str">
        <f>IF($AR$12="","",IF(AND($AH$12=KP$11,$AJ$12&lt;&gt;""),$AJ$12,IF(AND($AH$12=KP$11,$AP$12&lt;&gt;""),$AP$12,IF($AH$12=KP$11,$AQ$12,""))))</f>
        <v/>
      </c>
      <c r="KS76" s="878" t="str">
        <f t="shared" ref="KS76:KS91" si="275">IF(KT76="","",RANK(KT76,KT$12:KT$91))</f>
        <v/>
      </c>
      <c r="KT76" s="871" t="str">
        <f t="shared" ref="KT76:KT91" si="276">IF(KU76="","",$JK76)</f>
        <v/>
      </c>
      <c r="KU76" s="882" t="str">
        <f>IF($AR$12="","",IF(AND($AH$12=KS$11,$AJ$12&lt;&gt;""),$AJ$12,IF(AND($AH$12=KS$11,$AP$12&lt;&gt;""),$AP$12,IF($AH$12=KS$11,$AQ$12,""))))</f>
        <v/>
      </c>
      <c r="KV76" s="878" t="str">
        <f t="shared" ref="KV76:KV91" si="277">IF(KW76="","",RANK(KW76,KW$12:KW$91))</f>
        <v/>
      </c>
      <c r="KW76" s="871" t="str">
        <f t="shared" ref="KW76:KW91" si="278">IF(KX76="","",$JK76)</f>
        <v/>
      </c>
      <c r="KX76" s="882" t="str">
        <f>IF($AR$12="","",IF(AND($AH$12=KV$11,$AJ$12&lt;&gt;""),$AJ$12,IF(AND($AH$12=KV$11,$AP$12&lt;&gt;""),$AP$12,IF($AH$12=KV$11,$AQ$12,""))))</f>
        <v/>
      </c>
      <c r="KY76" s="878" t="str">
        <f t="shared" ref="KY76:KY91" si="279">IF(KZ76="","",RANK(KZ76,KZ$12:KZ$91))</f>
        <v/>
      </c>
      <c r="KZ76" s="871" t="str">
        <f t="shared" ref="KZ76:KZ91" si="280">IF(LA76="","",$JK76)</f>
        <v/>
      </c>
      <c r="LA76" s="882" t="str">
        <f>IF($AR$12="","",IF(AND($AH$12=KY$11,$AJ$12&lt;&gt;""),$AJ$12,IF(AND($AH$12=KY$11,$AP$12&lt;&gt;""),$AP$12,IF($AH$12=KY$11,$AQ$12,""))))</f>
        <v/>
      </c>
      <c r="LB76" s="878" t="str">
        <f t="shared" ref="LB76:LB91" si="281">IF(LC76="","",RANK(LC76,LC$12:LC$91))</f>
        <v/>
      </c>
      <c r="LC76" s="871" t="str">
        <f t="shared" ref="LC76:LC91" si="282">IF(LD76="","",$JK76)</f>
        <v/>
      </c>
      <c r="LD76" s="882" t="str">
        <f>IF($AR$12="","",IF(AND($AH$12=LB$11,$AJ$12&lt;&gt;""),$AJ$12,IF(AND($AH$12=LB$11,$AP$12&lt;&gt;""),$AP$12,IF($AH$12=LB$11,$AQ$12,""))))</f>
        <v/>
      </c>
      <c r="LE76" s="878" t="str">
        <f t="shared" ref="LE76:LE91" si="283">IF(LF76="","",RANK(LF76,LF$12:LF$91))</f>
        <v/>
      </c>
      <c r="LF76" s="871" t="str">
        <f t="shared" ref="LF76:LF91" si="284">IF(LG76="","",$JK76)</f>
        <v/>
      </c>
      <c r="LG76" s="882" t="str">
        <f>IF($AR$12="","",IF(AND($AH$12=LE$11,$AJ$12&lt;&gt;""),$AJ$12,IF(AND($AH$12=LE$11,$AP$12&lt;&gt;""),$AP$12,IF($AH$12=LE$11,$AQ$12,""))))</f>
        <v/>
      </c>
      <c r="LH76"/>
      <c r="LI76"/>
      <c r="LJ76"/>
      <c r="LK76"/>
      <c r="LL76"/>
      <c r="LM76"/>
    </row>
    <row r="77" spans="4:325">
      <c r="D77" s="8"/>
      <c r="E77" s="8"/>
      <c r="F77" s="8"/>
      <c r="G77" s="8"/>
      <c r="H77" s="8"/>
      <c r="M77" s="8"/>
      <c r="N77" s="8"/>
      <c r="S77" s="8"/>
      <c r="T77" s="8"/>
      <c r="U77" s="8"/>
      <c r="V77" s="8"/>
      <c r="W77" s="8"/>
      <c r="AH77" s="8"/>
      <c r="AI77" s="8"/>
      <c r="AJ77" s="8"/>
      <c r="AK77" s="8"/>
      <c r="BJ77" s="8"/>
      <c r="BY77" s="8"/>
      <c r="BZ77" s="8"/>
      <c r="CC77" s="8"/>
      <c r="CD77" s="8"/>
      <c r="CE77" s="8"/>
      <c r="CF77" s="8"/>
      <c r="CG77" s="762">
        <v>11</v>
      </c>
      <c r="CH77" s="13" t="str">
        <f t="shared" si="250"/>
        <v>Vitaly Khomitsevich</v>
      </c>
      <c r="CI77" s="770">
        <f t="shared" si="251"/>
        <v>0</v>
      </c>
      <c r="EZ77" s="13">
        <f t="shared" si="245"/>
        <v>11</v>
      </c>
      <c r="FA77" s="249">
        <f t="shared" si="246"/>
        <v>11</v>
      </c>
      <c r="FB77" s="486" t="str">
        <f t="shared" si="247"/>
        <v>Vitaly Khomitsevich</v>
      </c>
      <c r="FC77" s="574">
        <f t="shared" si="248"/>
        <v>0</v>
      </c>
      <c r="FD77" s="600">
        <f t="shared" si="249"/>
        <v>4.8999999999999997E-7</v>
      </c>
      <c r="GW77" s="1144"/>
      <c r="GX77" s="230" t="str">
        <f>IF($AR$12="","",IF($JG$13=$GX$3,$JH$13,IF(AND($AL$13=$GX$3,$AP$13&lt;&gt;""),$AP$13,IF(AND($AL$13=$GX$3,$AP$13=""),$AQ$13,""))))</f>
        <v/>
      </c>
      <c r="GY77" s="301">
        <v>15</v>
      </c>
      <c r="GZ77" s="5" t="str">
        <f t="shared" ref="GZ77:GZ91" si="285">IF(GX77="","",GY77)</f>
        <v/>
      </c>
      <c r="HA77" s="95" t="str">
        <f t="shared" si="252"/>
        <v/>
      </c>
      <c r="HB77" s="5"/>
      <c r="HC77" s="95" t="str">
        <f t="shared" ref="HC77:HC91" si="286">IF(GX77="","",GX77)</f>
        <v/>
      </c>
      <c r="HG77" s="1144"/>
      <c r="HH77" s="230" t="str">
        <f>IF($AR$12="","",IF($JG$13=$HH$3,$JH$13,IF(AND($AL$13=$HH$3,$AP$13&lt;&gt;""),$AP$13,IF(AND($AL$13=$HH$3,$AP$13=""),$AQ$13,""))))</f>
        <v/>
      </c>
      <c r="HI77" s="301">
        <v>15</v>
      </c>
      <c r="HJ77" s="5" t="str">
        <f t="shared" ref="HJ77:HJ91" si="287">IF(HH77="","",HI77)</f>
        <v/>
      </c>
      <c r="HK77" s="95" t="str">
        <f t="shared" si="253"/>
        <v/>
      </c>
      <c r="HL77" s="5"/>
      <c r="HM77" s="95" t="str">
        <f t="shared" si="254"/>
        <v/>
      </c>
      <c r="JJ77" s="1335"/>
      <c r="JK77" s="876">
        <v>15</v>
      </c>
      <c r="JL77" s="879" t="str">
        <f t="shared" ref="JL77:JL91" si="288">IF(JM77="","",RANK(JM77,JM$12:JM$91))</f>
        <v/>
      </c>
      <c r="JM77" s="662" t="str">
        <f t="shared" si="255"/>
        <v/>
      </c>
      <c r="JN77" s="869" t="str">
        <f>IF($AR$12="","",IF(AND($AH$13=JL$11,$AJ$13&lt;&gt;""),$AJ$13,IF(AND($AH$13=JL$11,$AP$13&lt;&gt;""),$AP$13,IF($AH$13=JL$11,$AQ$13,""))))</f>
        <v/>
      </c>
      <c r="JO77" s="879" t="str">
        <f t="shared" ref="JO77:JO91" si="289">IF(JP77="","",RANK(JP77,JP$12:JP$91))</f>
        <v/>
      </c>
      <c r="JP77" s="662" t="str">
        <f t="shared" si="256"/>
        <v/>
      </c>
      <c r="JQ77" s="869" t="str">
        <f>IF($AR$12="","",IF(AND($AH$13=JO$11,$AJ$13&lt;&gt;""),$AJ$13,IF(AND($AH$13=JO$11,$AP$13&lt;&gt;""),$AP$13,IF($AH$13=JO$11,$AQ$13,""))))</f>
        <v/>
      </c>
      <c r="JR77" s="879" t="str">
        <f t="shared" si="257"/>
        <v/>
      </c>
      <c r="JS77" s="662" t="str">
        <f t="shared" si="258"/>
        <v/>
      </c>
      <c r="JT77" s="869" t="str">
        <f>IF($AR$12="","",IF(AND($AH$13=JR$11,$AJ$13&lt;&gt;""),$AJ$13,IF(AND($AH$13=JR$11,$AP$13&lt;&gt;""),$AP$13,IF($AH$13=JR$11,$AQ$13,""))))</f>
        <v/>
      </c>
      <c r="JU77" s="879" t="str">
        <f t="shared" si="259"/>
        <v/>
      </c>
      <c r="JV77" s="662" t="str">
        <f t="shared" si="260"/>
        <v/>
      </c>
      <c r="JW77" s="869" t="str">
        <f>IF($AR$12="","",IF(AND($AH$13=JU$11,$AJ$13&lt;&gt;""),$AJ$13,IF(AND($AH$13=JU$11,$AP$13&lt;&gt;""),$AP$13,IF($AH$13=JU$11,$AQ$13,""))))</f>
        <v/>
      </c>
      <c r="JX77" s="879" t="str">
        <f t="shared" si="261"/>
        <v/>
      </c>
      <c r="JY77" s="662" t="str">
        <f t="shared" si="262"/>
        <v/>
      </c>
      <c r="JZ77" s="869" t="str">
        <f>IF($AR$12="","",IF(AND($AH$13=JX$11,$AJ$13&lt;&gt;""),$AJ$13,IF(AND($AH$13=JX$11,$AP$13&lt;&gt;""),$AP$13,IF($AH$13=JX$11,$AQ$13,""))))</f>
        <v/>
      </c>
      <c r="KA77" s="879" t="str">
        <f t="shared" si="263"/>
        <v/>
      </c>
      <c r="KB77" s="662" t="str">
        <f t="shared" si="264"/>
        <v/>
      </c>
      <c r="KC77" s="869" t="str">
        <f>IF($AR$12="","",IF(AND($AH$13=KA$11,$AJ$13&lt;&gt;""),$AJ$13,IF(AND($AH$13=KA$11,$AP$13&lt;&gt;""),$AP$13,IF($AH$13=KA$11,$AQ$13,""))))</f>
        <v/>
      </c>
      <c r="KD77" s="879" t="str">
        <f t="shared" si="265"/>
        <v/>
      </c>
      <c r="KE77" s="662" t="str">
        <f t="shared" si="266"/>
        <v/>
      </c>
      <c r="KF77" s="869" t="str">
        <f>IF($AR$12="","",IF(AND($AH$13=KD$11,$AJ$13&lt;&gt;""),$AJ$13,IF(AND($AH$13=KD$11,$AP$13&lt;&gt;""),$AP$13,IF($AH$13=KD$11,$AQ$13,""))))</f>
        <v/>
      </c>
      <c r="KG77" s="879" t="str">
        <f t="shared" si="267"/>
        <v/>
      </c>
      <c r="KH77" s="662" t="str">
        <f t="shared" si="268"/>
        <v/>
      </c>
      <c r="KI77" s="869" t="str">
        <f>IF($AR$12="","",IF(AND($AH$13=KG$11,$AJ$13&lt;&gt;""),$AJ$13,IF(AND($AH$13=KG$11,$AP$13&lt;&gt;""),$AP$13,IF($AH$13=KG$11,$AQ$13,""))))</f>
        <v/>
      </c>
      <c r="KJ77" s="879" t="str">
        <f t="shared" si="269"/>
        <v/>
      </c>
      <c r="KK77" s="662" t="str">
        <f t="shared" si="270"/>
        <v/>
      </c>
      <c r="KL77" s="869" t="str">
        <f>IF($AR$12="","",IF(AND($AH$13=KJ$11,$AJ$13&lt;&gt;""),$AJ$13,IF(AND($AH$13=KJ$11,$AP$13&lt;&gt;""),$AP$13,IF($AH$13=KJ$11,$AQ$13,""))))</f>
        <v/>
      </c>
      <c r="KM77" s="879" t="str">
        <f t="shared" si="271"/>
        <v/>
      </c>
      <c r="KN77" s="662" t="str">
        <f t="shared" si="272"/>
        <v/>
      </c>
      <c r="KO77" s="869" t="str">
        <f>IF($AR$12="","",IF(AND($AH$13=KM$11,$AJ$13&lt;&gt;""),$AJ$13,IF(AND($AH$13=KM$11,$AP$13&lt;&gt;""),$AP$13,IF($AH$13=KM$11,$AQ$13,""))))</f>
        <v/>
      </c>
      <c r="KP77" s="879" t="str">
        <f t="shared" si="273"/>
        <v/>
      </c>
      <c r="KQ77" s="662" t="str">
        <f t="shared" si="274"/>
        <v/>
      </c>
      <c r="KR77" s="869" t="str">
        <f>IF($AR$12="","",IF(AND($AH$13=KP$11,$AJ$13&lt;&gt;""),$AJ$13,IF(AND($AH$13=KP$11,$AP$13&lt;&gt;""),$AP$13,IF($AH$13=KP$11,$AQ$13,""))))</f>
        <v/>
      </c>
      <c r="KS77" s="879" t="str">
        <f t="shared" si="275"/>
        <v/>
      </c>
      <c r="KT77" s="662" t="str">
        <f t="shared" si="276"/>
        <v/>
      </c>
      <c r="KU77" s="869" t="str">
        <f>IF($AR$12="","",IF(AND($AH$13=KS$11,$AJ$13&lt;&gt;""),$AJ$13,IF(AND($AH$13=KS$11,$AP$13&lt;&gt;""),$AP$13,IF($AH$13=KS$11,$AQ$13,""))))</f>
        <v/>
      </c>
      <c r="KV77" s="879" t="str">
        <f t="shared" si="277"/>
        <v/>
      </c>
      <c r="KW77" s="662" t="str">
        <f t="shared" si="278"/>
        <v/>
      </c>
      <c r="KX77" s="869" t="str">
        <f>IF($AR$12="","",IF(AND($AH$13=KV$11,$AJ$13&lt;&gt;""),$AJ$13,IF(AND($AH$13=KV$11,$AP$13&lt;&gt;""),$AP$13,IF($AH$13=KV$11,$AQ$13,""))))</f>
        <v/>
      </c>
      <c r="KY77" s="879" t="str">
        <f t="shared" si="279"/>
        <v/>
      </c>
      <c r="KZ77" s="662" t="str">
        <f t="shared" si="280"/>
        <v/>
      </c>
      <c r="LA77" s="869" t="str">
        <f>IF($AR$12="","",IF(AND($AH$13=KY$11,$AJ$13&lt;&gt;""),$AJ$13,IF(AND($AH$13=KY$11,$AP$13&lt;&gt;""),$AP$13,IF($AH$13=KY$11,$AQ$13,""))))</f>
        <v/>
      </c>
      <c r="LB77" s="879" t="str">
        <f t="shared" si="281"/>
        <v/>
      </c>
      <c r="LC77" s="662" t="str">
        <f t="shared" si="282"/>
        <v/>
      </c>
      <c r="LD77" s="869" t="str">
        <f>IF($AR$12="","",IF(AND($AH$13=LB$11,$AJ$13&lt;&gt;""),$AJ$13,IF(AND($AH$13=LB$11,$AP$13&lt;&gt;""),$AP$13,IF($AH$13=LB$11,$AQ$13,""))))</f>
        <v/>
      </c>
      <c r="LE77" s="879" t="str">
        <f t="shared" si="283"/>
        <v/>
      </c>
      <c r="LF77" s="662" t="str">
        <f t="shared" si="284"/>
        <v/>
      </c>
      <c r="LG77" s="869" t="str">
        <f>IF($AR$12="","",IF(AND($AH$13=LE$11,$AJ$13&lt;&gt;""),$AJ$13,IF(AND($AH$13=LE$11,$AP$13&lt;&gt;""),$AP$13,IF($AH$13=LE$11,$AQ$13,""))))</f>
        <v/>
      </c>
      <c r="LH77"/>
      <c r="LI77"/>
      <c r="LJ77"/>
      <c r="LK77"/>
      <c r="LL77"/>
      <c r="LM77"/>
    </row>
    <row r="78" spans="4:325">
      <c r="D78" s="8"/>
      <c r="E78" s="8"/>
      <c r="F78" s="8"/>
      <c r="G78" s="8"/>
      <c r="H78" s="8"/>
      <c r="M78" s="8"/>
      <c r="N78" s="8"/>
      <c r="S78" s="8"/>
      <c r="T78" s="8"/>
      <c r="U78" s="8"/>
      <c r="V78" s="8"/>
      <c r="W78" s="8"/>
      <c r="AH78" s="8"/>
      <c r="AI78" s="8"/>
      <c r="AJ78" s="8"/>
      <c r="AK78" s="8"/>
      <c r="BJ78" s="8"/>
      <c r="BY78" s="8"/>
      <c r="BZ78" s="8"/>
      <c r="CC78" s="8"/>
      <c r="CD78" s="8"/>
      <c r="CE78" s="8"/>
      <c r="CF78" s="8"/>
      <c r="CG78" s="762">
        <v>12</v>
      </c>
      <c r="CH78" s="13" t="str">
        <f t="shared" si="250"/>
        <v>Hans Weber</v>
      </c>
      <c r="CI78" s="770">
        <f t="shared" si="251"/>
        <v>0</v>
      </c>
      <c r="EZ78" s="13">
        <f t="shared" si="245"/>
        <v>18</v>
      </c>
      <c r="FA78" s="249">
        <f t="shared" si="246"/>
        <v>18</v>
      </c>
      <c r="FB78" s="486" t="str">
        <f t="shared" si="247"/>
        <v>Daniel Henderson</v>
      </c>
      <c r="FC78" s="574">
        <f t="shared" si="248"/>
        <v>0</v>
      </c>
      <c r="FD78" s="600">
        <f t="shared" si="249"/>
        <v>4.0999999999999999E-7</v>
      </c>
      <c r="GW78" s="1144"/>
      <c r="GX78" s="230" t="str">
        <f>IF($AR$12="","",IF($JG$14=$GX$3,$JH$14,IF(AND($AL$14=$GX$3,$AP$14&lt;&gt;""),$AP$14,IF(AND($AL$14=$GX$3,$AP$14=""),$AQ$14,""))))</f>
        <v/>
      </c>
      <c r="GY78" s="301">
        <v>14</v>
      </c>
      <c r="GZ78" s="5" t="str">
        <f t="shared" si="285"/>
        <v/>
      </c>
      <c r="HA78" s="95" t="str">
        <f t="shared" si="252"/>
        <v/>
      </c>
      <c r="HB78" s="5"/>
      <c r="HC78" s="95" t="str">
        <f t="shared" si="286"/>
        <v/>
      </c>
      <c r="HG78" s="1144"/>
      <c r="HH78" s="230" t="str">
        <f>IF($AR$12="","",IF($JG$14=$HH$3,$JH$14,IF(AND($AL$14=$HH$3,$AP$14&lt;&gt;""),$AP$14,IF(AND($AL$14=$HH$3,$AP$14=""),$AQ$14,""))))</f>
        <v/>
      </c>
      <c r="HI78" s="301">
        <v>14</v>
      </c>
      <c r="HJ78" s="5" t="str">
        <f t="shared" si="287"/>
        <v/>
      </c>
      <c r="HK78" s="95" t="str">
        <f t="shared" si="253"/>
        <v/>
      </c>
      <c r="HL78" s="5"/>
      <c r="HM78" s="95" t="str">
        <f t="shared" si="254"/>
        <v/>
      </c>
      <c r="JJ78" s="1335"/>
      <c r="JK78" s="876">
        <v>14</v>
      </c>
      <c r="JL78" s="879" t="str">
        <f t="shared" si="288"/>
        <v/>
      </c>
      <c r="JM78" s="662" t="str">
        <f t="shared" si="255"/>
        <v/>
      </c>
      <c r="JN78" s="869" t="str">
        <f>IF($AR$12="","",IF(AND($AH$14=JL$11,$AJ$14&lt;&gt;""),$AJ$14,IF(AND($AH$14=JL$11,$AP$14&lt;&gt;""),$AP$14,IF($AH$14=JL$11,$AQ$14,""))))</f>
        <v/>
      </c>
      <c r="JO78" s="879" t="str">
        <f t="shared" si="289"/>
        <v/>
      </c>
      <c r="JP78" s="662" t="str">
        <f t="shared" si="256"/>
        <v/>
      </c>
      <c r="JQ78" s="869" t="str">
        <f>IF($AR$12="","",IF(AND($AH$14=JO$11,$AJ$14&lt;&gt;""),$AJ$14,IF(AND($AH$14=JO$11,$AP$14&lt;&gt;""),$AP$14,IF($AH$14=JO$11,$AQ$14,""))))</f>
        <v/>
      </c>
      <c r="JR78" s="879" t="str">
        <f t="shared" si="257"/>
        <v/>
      </c>
      <c r="JS78" s="662" t="str">
        <f t="shared" si="258"/>
        <v/>
      </c>
      <c r="JT78" s="869" t="str">
        <f>IF($AR$12="","",IF(AND($AH$14=JR$11,$AJ$14&lt;&gt;""),$AJ$14,IF(AND($AH$14=JR$11,$AP$14&lt;&gt;""),$AP$14,IF($AH$14=JR$11,$AQ$14,""))))</f>
        <v/>
      </c>
      <c r="JU78" s="879" t="str">
        <f t="shared" si="259"/>
        <v/>
      </c>
      <c r="JV78" s="662" t="str">
        <f t="shared" si="260"/>
        <v/>
      </c>
      <c r="JW78" s="869" t="str">
        <f>IF($AR$12="","",IF(AND($AH$14=JU$11,$AJ$14&lt;&gt;""),$AJ$14,IF(AND($AH$14=JU$11,$AP$14&lt;&gt;""),$AP$14,IF($AH$14=JU$11,$AQ$14,""))))</f>
        <v/>
      </c>
      <c r="JX78" s="879" t="str">
        <f t="shared" si="261"/>
        <v/>
      </c>
      <c r="JY78" s="662" t="str">
        <f t="shared" si="262"/>
        <v/>
      </c>
      <c r="JZ78" s="869" t="str">
        <f>IF($AR$12="","",IF(AND($AH$14=JX$11,$AJ$14&lt;&gt;""),$AJ$14,IF(AND($AH$14=JX$11,$AP$14&lt;&gt;""),$AP$14,IF($AH$14=JX$11,$AQ$14,""))))</f>
        <v/>
      </c>
      <c r="KA78" s="879" t="str">
        <f t="shared" si="263"/>
        <v/>
      </c>
      <c r="KB78" s="662" t="str">
        <f t="shared" si="264"/>
        <v/>
      </c>
      <c r="KC78" s="869" t="str">
        <f>IF($AR$12="","",IF(AND($AH$14=KA$11,$AJ$14&lt;&gt;""),$AJ$14,IF(AND($AH$14=KA$11,$AP$14&lt;&gt;""),$AP$14,IF($AH$14=KA$11,$AQ$14,""))))</f>
        <v/>
      </c>
      <c r="KD78" s="879" t="str">
        <f t="shared" si="265"/>
        <v/>
      </c>
      <c r="KE78" s="662" t="str">
        <f t="shared" si="266"/>
        <v/>
      </c>
      <c r="KF78" s="869" t="str">
        <f>IF($AR$12="","",IF(AND($AH$14=KD$11,$AJ$14&lt;&gt;""),$AJ$14,IF(AND($AH$14=KD$11,$AP$14&lt;&gt;""),$AP$14,IF($AH$14=KD$11,$AQ$14,""))))</f>
        <v/>
      </c>
      <c r="KG78" s="879" t="str">
        <f t="shared" si="267"/>
        <v/>
      </c>
      <c r="KH78" s="662" t="str">
        <f t="shared" si="268"/>
        <v/>
      </c>
      <c r="KI78" s="869" t="str">
        <f>IF($AR$12="","",IF(AND($AH$14=KG$11,$AJ$14&lt;&gt;""),$AJ$14,IF(AND($AH$14=KG$11,$AP$14&lt;&gt;""),$AP$14,IF($AH$14=KG$11,$AQ$14,""))))</f>
        <v/>
      </c>
      <c r="KJ78" s="879" t="str">
        <f t="shared" si="269"/>
        <v/>
      </c>
      <c r="KK78" s="662" t="str">
        <f t="shared" si="270"/>
        <v/>
      </c>
      <c r="KL78" s="869" t="str">
        <f>IF($AR$12="","",IF(AND($AH$14=KJ$11,$AJ$14&lt;&gt;""),$AJ$14,IF(AND($AH$14=KJ$11,$AP$14&lt;&gt;""),$AP$14,IF($AH$14=KJ$11,$AQ$14,""))))</f>
        <v/>
      </c>
      <c r="KM78" s="879" t="str">
        <f t="shared" si="271"/>
        <v/>
      </c>
      <c r="KN78" s="662" t="str">
        <f t="shared" si="272"/>
        <v/>
      </c>
      <c r="KO78" s="869" t="str">
        <f>IF($AR$12="","",IF(AND($AH$14=KM$11,$AJ$14&lt;&gt;""),$AJ$14,IF(AND($AH$14=KM$11,$AP$14&lt;&gt;""),$AP$14,IF($AH$14=KM$11,$AQ$14,""))))</f>
        <v/>
      </c>
      <c r="KP78" s="879" t="str">
        <f t="shared" si="273"/>
        <v/>
      </c>
      <c r="KQ78" s="662" t="str">
        <f t="shared" si="274"/>
        <v/>
      </c>
      <c r="KR78" s="869" t="str">
        <f>IF($AR$12="","",IF(AND($AH$14=KP$11,$AJ$14&lt;&gt;""),$AJ$14,IF(AND($AH$14=KP$11,$AP$14&lt;&gt;""),$AP$14,IF($AH$14=KP$11,$AQ$14,""))))</f>
        <v/>
      </c>
      <c r="KS78" s="879" t="str">
        <f t="shared" si="275"/>
        <v/>
      </c>
      <c r="KT78" s="662" t="str">
        <f t="shared" si="276"/>
        <v/>
      </c>
      <c r="KU78" s="869" t="str">
        <f>IF($AR$12="","",IF(AND($AH$14=KS$11,$AJ$14&lt;&gt;""),$AJ$14,IF(AND($AH$14=KS$11,$AP$14&lt;&gt;""),$AP$14,IF($AH$14=KS$11,$AQ$14,""))))</f>
        <v/>
      </c>
      <c r="KV78" s="879" t="str">
        <f t="shared" si="277"/>
        <v/>
      </c>
      <c r="KW78" s="662" t="str">
        <f t="shared" si="278"/>
        <v/>
      </c>
      <c r="KX78" s="869" t="str">
        <f>IF($AR$12="","",IF(AND($AH$14=KV$11,$AJ$14&lt;&gt;""),$AJ$14,IF(AND($AH$14=KV$11,$AP$14&lt;&gt;""),$AP$14,IF($AH$14=KV$11,$AQ$14,""))))</f>
        <v/>
      </c>
      <c r="KY78" s="879" t="str">
        <f t="shared" si="279"/>
        <v/>
      </c>
      <c r="KZ78" s="662" t="str">
        <f t="shared" si="280"/>
        <v/>
      </c>
      <c r="LA78" s="869" t="str">
        <f>IF($AR$12="","",IF(AND($AH$14=KY$11,$AJ$14&lt;&gt;""),$AJ$14,IF(AND($AH$14=KY$11,$AP$14&lt;&gt;""),$AP$14,IF($AH$14=KY$11,$AQ$14,""))))</f>
        <v/>
      </c>
      <c r="LB78" s="879" t="str">
        <f t="shared" si="281"/>
        <v/>
      </c>
      <c r="LC78" s="662" t="str">
        <f t="shared" si="282"/>
        <v/>
      </c>
      <c r="LD78" s="869" t="str">
        <f>IF($AR$12="","",IF(AND($AH$14=LB$11,$AJ$14&lt;&gt;""),$AJ$14,IF(AND($AH$14=LB$11,$AP$14&lt;&gt;""),$AP$14,IF($AH$14=LB$11,$AQ$14,""))))</f>
        <v/>
      </c>
      <c r="LE78" s="879" t="str">
        <f t="shared" si="283"/>
        <v/>
      </c>
      <c r="LF78" s="662" t="str">
        <f t="shared" si="284"/>
        <v/>
      </c>
      <c r="LG78" s="869" t="str">
        <f>IF($AR$12="","",IF(AND($AH$14=LE$11,$AJ$14&lt;&gt;""),$AJ$14,IF(AND($AH$14=LE$11,$AP$14&lt;&gt;""),$AP$14,IF($AH$14=LE$11,$AQ$14,""))))</f>
        <v/>
      </c>
      <c r="LH78"/>
      <c r="LI78"/>
      <c r="LJ78"/>
      <c r="LK78"/>
      <c r="LL78"/>
      <c r="LM78"/>
    </row>
    <row r="79" spans="4:325" ht="13.5" thickBot="1">
      <c r="D79" s="8"/>
      <c r="E79" s="8"/>
      <c r="F79" s="8"/>
      <c r="G79" s="8"/>
      <c r="H79" s="8"/>
      <c r="M79" s="8"/>
      <c r="N79" s="8"/>
      <c r="S79" s="8"/>
      <c r="T79" s="8"/>
      <c r="U79" s="8"/>
      <c r="V79" s="8"/>
      <c r="W79" s="8"/>
      <c r="AH79" s="8"/>
      <c r="AI79" s="8"/>
      <c r="AJ79" s="8"/>
      <c r="AK79" s="8"/>
      <c r="BJ79" s="8"/>
      <c r="BY79" s="8"/>
      <c r="BZ79" s="8"/>
      <c r="CC79" s="8"/>
      <c r="CD79" s="8"/>
      <c r="CE79" s="8"/>
      <c r="CF79" s="8"/>
      <c r="CG79" s="762">
        <v>13</v>
      </c>
      <c r="CH79" s="13" t="str">
        <f t="shared" si="250"/>
        <v>Antonin Klatovsky</v>
      </c>
      <c r="CI79" s="770">
        <f t="shared" si="251"/>
        <v>0</v>
      </c>
      <c r="EZ79" s="13">
        <f t="shared" si="245"/>
        <v>8</v>
      </c>
      <c r="FA79" s="249">
        <f t="shared" si="246"/>
        <v>8</v>
      </c>
      <c r="FB79" s="486" t="str">
        <f t="shared" si="247"/>
        <v>Stefan Pletschacher</v>
      </c>
      <c r="FC79" s="574">
        <f t="shared" si="248"/>
        <v>0</v>
      </c>
      <c r="FD79" s="600">
        <f t="shared" si="249"/>
        <v>5.2E-7</v>
      </c>
      <c r="GW79" s="1145"/>
      <c r="GX79" s="231" t="str">
        <f>IF($AR$12="","",IF($JG$15=$GX$3,$JH$15,IF(AND($AL$15=$GX$3,$AP$15&lt;&gt;""),$AP$15,IF(AND($AL$15=$GX$3,$AP$15=""),$AQ$15,""))))</f>
        <v/>
      </c>
      <c r="GY79" s="302">
        <v>13</v>
      </c>
      <c r="GZ79" s="303" t="str">
        <f t="shared" si="285"/>
        <v/>
      </c>
      <c r="HA79" s="98" t="str">
        <f t="shared" si="252"/>
        <v/>
      </c>
      <c r="HB79" s="303"/>
      <c r="HC79" s="98" t="str">
        <f t="shared" si="286"/>
        <v/>
      </c>
      <c r="HG79" s="1145"/>
      <c r="HH79" s="231" t="str">
        <f>IF($AR$12="","",IF($JG$15=$HH$3,$JH$15,IF(AND($AL$15=$HH$3,$AP$15&lt;&gt;""),$AP$15,IF(AND($AL$15=$HH$3,$AP$15=""),$AQ$15,""))))</f>
        <v/>
      </c>
      <c r="HI79" s="302">
        <v>13</v>
      </c>
      <c r="HJ79" s="303" t="str">
        <f t="shared" si="287"/>
        <v/>
      </c>
      <c r="HK79" s="98" t="str">
        <f t="shared" si="253"/>
        <v/>
      </c>
      <c r="HL79" s="303"/>
      <c r="HM79" s="98" t="str">
        <f t="shared" si="254"/>
        <v/>
      </c>
      <c r="JJ79" s="1336"/>
      <c r="JK79" s="877">
        <v>13</v>
      </c>
      <c r="JL79" s="880" t="str">
        <f t="shared" si="288"/>
        <v/>
      </c>
      <c r="JM79" s="873" t="str">
        <f t="shared" si="255"/>
        <v/>
      </c>
      <c r="JN79" s="870" t="str">
        <f>IF($AR$12="","",IF(AND($AH$15=JL$11,$AJ$15&lt;&gt;""),$AJ$15,IF(AND($AH$15=JL$11,$AP$15&lt;&gt;""),$AP$15,IF($AH$15=JL$11,$AQ$15,""))))</f>
        <v/>
      </c>
      <c r="JO79" s="880" t="str">
        <f t="shared" si="289"/>
        <v/>
      </c>
      <c r="JP79" s="873" t="str">
        <f t="shared" si="256"/>
        <v/>
      </c>
      <c r="JQ79" s="870" t="str">
        <f>IF($AR$12="","",IF(AND($AH$15=JO$11,$AJ$15&lt;&gt;""),$AJ$15,IF(AND($AH$15=JO$11,$AP$15&lt;&gt;""),$AP$15,IF($AH$15=JO$11,$AQ$15,""))))</f>
        <v/>
      </c>
      <c r="JR79" s="880" t="str">
        <f t="shared" si="257"/>
        <v/>
      </c>
      <c r="JS79" s="873" t="str">
        <f t="shared" si="258"/>
        <v/>
      </c>
      <c r="JT79" s="870" t="str">
        <f>IF($AR$12="","",IF(AND($AH$15=JR$11,$AJ$15&lt;&gt;""),$AJ$15,IF(AND($AH$15=JR$11,$AP$15&lt;&gt;""),$AP$15,IF($AH$15=JR$11,$AQ$15,""))))</f>
        <v/>
      </c>
      <c r="JU79" s="880" t="str">
        <f t="shared" si="259"/>
        <v/>
      </c>
      <c r="JV79" s="873" t="str">
        <f t="shared" si="260"/>
        <v/>
      </c>
      <c r="JW79" s="870" t="str">
        <f>IF($AR$12="","",IF(AND($AH$15=JU$11,$AJ$15&lt;&gt;""),$AJ$15,IF(AND($AH$15=JU$11,$AP$15&lt;&gt;""),$AP$15,IF($AH$15=JU$11,$AQ$15,""))))</f>
        <v/>
      </c>
      <c r="JX79" s="880" t="str">
        <f t="shared" si="261"/>
        <v/>
      </c>
      <c r="JY79" s="873" t="str">
        <f t="shared" si="262"/>
        <v/>
      </c>
      <c r="JZ79" s="870" t="str">
        <f>IF($AR$12="","",IF(AND($AH$15=JX$11,$AJ$15&lt;&gt;""),$AJ$15,IF(AND($AH$15=JX$11,$AP$15&lt;&gt;""),$AP$15,IF($AH$15=JX$11,$AQ$15,""))))</f>
        <v/>
      </c>
      <c r="KA79" s="880" t="str">
        <f t="shared" si="263"/>
        <v/>
      </c>
      <c r="KB79" s="873" t="str">
        <f t="shared" si="264"/>
        <v/>
      </c>
      <c r="KC79" s="870" t="str">
        <f>IF($AR$12="","",IF(AND($AH$15=KA$11,$AJ$15&lt;&gt;""),$AJ$15,IF(AND($AH$15=KA$11,$AP$15&lt;&gt;""),$AP$15,IF($AH$15=KA$11,$AQ$15,""))))</f>
        <v/>
      </c>
      <c r="KD79" s="880" t="str">
        <f t="shared" si="265"/>
        <v/>
      </c>
      <c r="KE79" s="873" t="str">
        <f t="shared" si="266"/>
        <v/>
      </c>
      <c r="KF79" s="870" t="str">
        <f>IF($AR$12="","",IF(AND($AH$15=KD$11,$AJ$15&lt;&gt;""),$AJ$15,IF(AND($AH$15=KD$11,$AP$15&lt;&gt;""),$AP$15,IF($AH$15=KD$11,$AQ$15,""))))</f>
        <v/>
      </c>
      <c r="KG79" s="880" t="str">
        <f t="shared" si="267"/>
        <v/>
      </c>
      <c r="KH79" s="873" t="str">
        <f t="shared" si="268"/>
        <v/>
      </c>
      <c r="KI79" s="870" t="str">
        <f>IF($AR$12="","",IF(AND($AH$15=KG$11,$AJ$15&lt;&gt;""),$AJ$15,IF(AND($AH$15=KG$11,$AP$15&lt;&gt;""),$AP$15,IF($AH$15=KG$11,$AQ$15,""))))</f>
        <v/>
      </c>
      <c r="KJ79" s="880" t="str">
        <f t="shared" si="269"/>
        <v/>
      </c>
      <c r="KK79" s="873" t="str">
        <f t="shared" si="270"/>
        <v/>
      </c>
      <c r="KL79" s="870" t="str">
        <f>IF($AR$12="","",IF(AND($AH$15=KJ$11,$AJ$15&lt;&gt;""),$AJ$15,IF(AND($AH$15=KJ$11,$AP$15&lt;&gt;""),$AP$15,IF($AH$15=KJ$11,$AQ$15,""))))</f>
        <v/>
      </c>
      <c r="KM79" s="880" t="str">
        <f t="shared" si="271"/>
        <v/>
      </c>
      <c r="KN79" s="873" t="str">
        <f t="shared" si="272"/>
        <v/>
      </c>
      <c r="KO79" s="870" t="str">
        <f>IF($AR$12="","",IF(AND($AH$15=KM$11,$AJ$15&lt;&gt;""),$AJ$15,IF(AND($AH$15=KM$11,$AP$15&lt;&gt;""),$AP$15,IF($AH$15=KM$11,$AQ$15,""))))</f>
        <v/>
      </c>
      <c r="KP79" s="880" t="str">
        <f t="shared" si="273"/>
        <v/>
      </c>
      <c r="KQ79" s="873" t="str">
        <f t="shared" si="274"/>
        <v/>
      </c>
      <c r="KR79" s="870" t="str">
        <f>IF($AR$12="","",IF(AND($AH$15=KP$11,$AJ$15&lt;&gt;""),$AJ$15,IF(AND($AH$15=KP$11,$AP$15&lt;&gt;""),$AP$15,IF($AH$15=KP$11,$AQ$15,""))))</f>
        <v/>
      </c>
      <c r="KS79" s="880" t="str">
        <f t="shared" si="275"/>
        <v/>
      </c>
      <c r="KT79" s="873" t="str">
        <f t="shared" si="276"/>
        <v/>
      </c>
      <c r="KU79" s="870" t="str">
        <f>IF($AR$12="","",IF(AND($AH$15=KS$11,$AJ$15&lt;&gt;""),$AJ$15,IF(AND($AH$15=KS$11,$AP$15&lt;&gt;""),$AP$15,IF($AH$15=KS$11,$AQ$15,""))))</f>
        <v/>
      </c>
      <c r="KV79" s="880" t="str">
        <f t="shared" si="277"/>
        <v/>
      </c>
      <c r="KW79" s="873" t="str">
        <f t="shared" si="278"/>
        <v/>
      </c>
      <c r="KX79" s="870" t="str">
        <f>IF($AR$12="","",IF(AND($AH$15=KV$11,$AJ$15&lt;&gt;""),$AJ$15,IF(AND($AH$15=KV$11,$AP$15&lt;&gt;""),$AP$15,IF($AH$15=KV$11,$AQ$15,""))))</f>
        <v/>
      </c>
      <c r="KY79" s="880" t="str">
        <f t="shared" si="279"/>
        <v/>
      </c>
      <c r="KZ79" s="873" t="str">
        <f t="shared" si="280"/>
        <v/>
      </c>
      <c r="LA79" s="870" t="str">
        <f>IF($AR$12="","",IF(AND($AH$15=KY$11,$AJ$15&lt;&gt;""),$AJ$15,IF(AND($AH$15=KY$11,$AP$15&lt;&gt;""),$AP$15,IF($AH$15=KY$11,$AQ$15,""))))</f>
        <v/>
      </c>
      <c r="LB79" s="880" t="str">
        <f t="shared" si="281"/>
        <v/>
      </c>
      <c r="LC79" s="873" t="str">
        <f t="shared" si="282"/>
        <v/>
      </c>
      <c r="LD79" s="870" t="str">
        <f>IF($AR$12="","",IF(AND($AH$15=LB$11,$AJ$15&lt;&gt;""),$AJ$15,IF(AND($AH$15=LB$11,$AP$15&lt;&gt;""),$AP$15,IF($AH$15=LB$11,$AQ$15,""))))</f>
        <v/>
      </c>
      <c r="LE79" s="880" t="str">
        <f t="shared" si="283"/>
        <v/>
      </c>
      <c r="LF79" s="873" t="str">
        <f t="shared" si="284"/>
        <v/>
      </c>
      <c r="LG79" s="870" t="str">
        <f>IF($AR$12="","",IF(AND($AH$15=LE$11,$AJ$15&lt;&gt;""),$AJ$15,IF(AND($AH$15=LE$11,$AP$15&lt;&gt;""),$AP$15,IF($AH$15=LE$11,$AQ$15,""))))</f>
        <v/>
      </c>
      <c r="LH79"/>
      <c r="LI79"/>
      <c r="LJ79"/>
      <c r="LK79"/>
      <c r="LL79"/>
      <c r="LM79"/>
    </row>
    <row r="80" spans="4:325">
      <c r="D80" s="8"/>
      <c r="E80" s="8"/>
      <c r="F80" s="8"/>
      <c r="G80" s="8"/>
      <c r="H80" s="8"/>
      <c r="M80" s="8"/>
      <c r="N80" s="8"/>
      <c r="S80" s="8"/>
      <c r="T80" s="8"/>
      <c r="U80" s="8"/>
      <c r="V80" s="8"/>
      <c r="W80" s="8"/>
      <c r="AH80" s="8"/>
      <c r="AI80" s="8"/>
      <c r="AJ80" s="8"/>
      <c r="AK80" s="8"/>
      <c r="BJ80" s="8"/>
      <c r="BY80" s="8"/>
      <c r="BZ80" s="8"/>
      <c r="CC80" s="8"/>
      <c r="CD80" s="8"/>
      <c r="CE80" s="8"/>
      <c r="CF80" s="8"/>
      <c r="CG80" s="762">
        <v>14</v>
      </c>
      <c r="CH80" s="13" t="str">
        <f t="shared" si="250"/>
        <v>Harald Simon</v>
      </c>
      <c r="CI80" s="770">
        <f t="shared" si="251"/>
        <v>0</v>
      </c>
      <c r="EZ80" s="13">
        <f t="shared" si="245"/>
        <v>2</v>
      </c>
      <c r="FA80" s="249">
        <f t="shared" si="246"/>
        <v>2</v>
      </c>
      <c r="FB80" s="486" t="str">
        <f t="shared" si="247"/>
        <v>Dimitry Koltakov</v>
      </c>
      <c r="FC80" s="574">
        <f t="shared" si="248"/>
        <v>0</v>
      </c>
      <c r="FD80" s="600">
        <f t="shared" si="249"/>
        <v>5.7999999999999995E-7</v>
      </c>
      <c r="GW80" s="1143">
        <v>18</v>
      </c>
      <c r="GX80" s="229" t="str">
        <f>IF($AR$16="","",IF($JG$16=$GX$3,$JH$16,IF(AND($AL$16=$GX$3,$AP$16&lt;&gt;""),$AP$16,IF(AND($AL$16=$GX$3,$AP$16=""),$AQ$16,""))))</f>
        <v/>
      </c>
      <c r="GY80" s="299">
        <v>12</v>
      </c>
      <c r="GZ80" s="300" t="str">
        <f t="shared" si="285"/>
        <v/>
      </c>
      <c r="HA80" s="93" t="str">
        <f t="shared" si="252"/>
        <v/>
      </c>
      <c r="HB80" s="300"/>
      <c r="HC80" s="93" t="str">
        <f t="shared" si="286"/>
        <v/>
      </c>
      <c r="HG80" s="1143">
        <v>18</v>
      </c>
      <c r="HH80" s="229" t="str">
        <f>IF($AR$16="","",IF($JG$16=$HH$3,$JH$16,IF(AND($AL$16=$HH$3,$AP$16&lt;&gt;""),$AP$16,IF(AND($AL$16=$HH$3,$AP$16=""),$AQ$16,""))))</f>
        <v/>
      </c>
      <c r="HI80" s="299">
        <v>12</v>
      </c>
      <c r="HJ80" s="300" t="str">
        <f t="shared" si="287"/>
        <v/>
      </c>
      <c r="HK80" s="93" t="str">
        <f t="shared" si="253"/>
        <v/>
      </c>
      <c r="HL80" s="300"/>
      <c r="HM80" s="93" t="str">
        <f t="shared" si="254"/>
        <v/>
      </c>
      <c r="JJ80" s="1334">
        <v>18</v>
      </c>
      <c r="JK80" s="875">
        <v>12</v>
      </c>
      <c r="JL80" s="878" t="str">
        <f t="shared" si="288"/>
        <v/>
      </c>
      <c r="JM80" s="871" t="str">
        <f t="shared" si="255"/>
        <v/>
      </c>
      <c r="JN80" s="868" t="str">
        <f>IF($AR$16="","",IF(AND($AH$16=JL$11,$AJ$16&lt;&gt;""),$AJ$16,IF(AND($AH$16=JL$11,$AP$16&lt;&gt;""),$AP$16,IF($AH$16=JL$11,$AQ$16,""))))</f>
        <v/>
      </c>
      <c r="JO80" s="878" t="str">
        <f t="shared" si="289"/>
        <v/>
      </c>
      <c r="JP80" s="871" t="str">
        <f t="shared" si="256"/>
        <v/>
      </c>
      <c r="JQ80" s="868" t="str">
        <f>IF($AR$16="","",IF(AND($AH$16=JO$11,$AJ$16&lt;&gt;""),$AJ$16,IF(AND($AH$16=JO$11,$AP$16&lt;&gt;""),$AP$16,IF($AH$16=JO$11,$AQ$16,""))))</f>
        <v/>
      </c>
      <c r="JR80" s="878" t="str">
        <f t="shared" si="257"/>
        <v/>
      </c>
      <c r="JS80" s="871" t="str">
        <f t="shared" si="258"/>
        <v/>
      </c>
      <c r="JT80" s="868" t="str">
        <f>IF($AR$16="","",IF(AND($AH$16=JR$11,$AJ$16&lt;&gt;""),$AJ$16,IF(AND($AH$16=JR$11,$AP$16&lt;&gt;""),$AP$16,IF($AH$16=JR$11,$AQ$16,""))))</f>
        <v/>
      </c>
      <c r="JU80" s="878" t="str">
        <f t="shared" si="259"/>
        <v/>
      </c>
      <c r="JV80" s="871" t="str">
        <f t="shared" si="260"/>
        <v/>
      </c>
      <c r="JW80" s="868" t="str">
        <f>IF($AR$16="","",IF(AND($AH$16=JU$11,$AJ$16&lt;&gt;""),$AJ$16,IF(AND($AH$16=JU$11,$AP$16&lt;&gt;""),$AP$16,IF($AH$16=JU$11,$AQ$16,""))))</f>
        <v/>
      </c>
      <c r="JX80" s="878" t="str">
        <f t="shared" si="261"/>
        <v/>
      </c>
      <c r="JY80" s="871" t="str">
        <f t="shared" si="262"/>
        <v/>
      </c>
      <c r="JZ80" s="868" t="str">
        <f>IF($AR$16="","",IF(AND($AH$16=JX$11,$AJ$16&lt;&gt;""),$AJ$16,IF(AND($AH$16=JX$11,$AP$16&lt;&gt;""),$AP$16,IF($AH$16=JX$11,$AQ$16,""))))</f>
        <v/>
      </c>
      <c r="KA80" s="878" t="str">
        <f t="shared" si="263"/>
        <v/>
      </c>
      <c r="KB80" s="871" t="str">
        <f t="shared" si="264"/>
        <v/>
      </c>
      <c r="KC80" s="868" t="str">
        <f>IF($AR$16="","",IF(AND($AH$16=KA$11,$AJ$16&lt;&gt;""),$AJ$16,IF(AND($AH$16=KA$11,$AP$16&lt;&gt;""),$AP$16,IF($AH$16=KA$11,$AQ$16,""))))</f>
        <v/>
      </c>
      <c r="KD80" s="878" t="str">
        <f t="shared" si="265"/>
        <v/>
      </c>
      <c r="KE80" s="871" t="str">
        <f t="shared" si="266"/>
        <v/>
      </c>
      <c r="KF80" s="868" t="str">
        <f>IF($AR$16="","",IF(AND($AH$16=KD$11,$AJ$16&lt;&gt;""),$AJ$16,IF(AND($AH$16=KD$11,$AP$16&lt;&gt;""),$AP$16,IF($AH$16=KD$11,$AQ$16,""))))</f>
        <v/>
      </c>
      <c r="KG80" s="878" t="str">
        <f t="shared" si="267"/>
        <v/>
      </c>
      <c r="KH80" s="871" t="str">
        <f t="shared" si="268"/>
        <v/>
      </c>
      <c r="KI80" s="868" t="str">
        <f>IF($AR$16="","",IF(AND($AH$16=KG$11,$AJ$16&lt;&gt;""),$AJ$16,IF(AND($AH$16=KG$11,$AP$16&lt;&gt;""),$AP$16,IF($AH$16=KG$11,$AQ$16,""))))</f>
        <v/>
      </c>
      <c r="KJ80" s="878" t="str">
        <f t="shared" si="269"/>
        <v/>
      </c>
      <c r="KK80" s="871" t="str">
        <f t="shared" si="270"/>
        <v/>
      </c>
      <c r="KL80" s="868" t="str">
        <f>IF($AR$16="","",IF(AND($AH$16=KJ$11,$AJ$16&lt;&gt;""),$AJ$16,IF(AND($AH$16=KJ$11,$AP$16&lt;&gt;""),$AP$16,IF($AH$16=KJ$11,$AQ$16,""))))</f>
        <v/>
      </c>
      <c r="KM80" s="878" t="str">
        <f t="shared" si="271"/>
        <v/>
      </c>
      <c r="KN80" s="871" t="str">
        <f t="shared" si="272"/>
        <v/>
      </c>
      <c r="KO80" s="868" t="str">
        <f>IF($AR$16="","",IF(AND($AH$16=KM$11,$AJ$16&lt;&gt;""),$AJ$16,IF(AND($AH$16=KM$11,$AP$16&lt;&gt;""),$AP$16,IF($AH$16=KM$11,$AQ$16,""))))</f>
        <v/>
      </c>
      <c r="KP80" s="878" t="str">
        <f t="shared" si="273"/>
        <v/>
      </c>
      <c r="KQ80" s="871" t="str">
        <f t="shared" si="274"/>
        <v/>
      </c>
      <c r="KR80" s="868" t="str">
        <f>IF($AR$16="","",IF(AND($AH$16=KP$11,$AJ$16&lt;&gt;""),$AJ$16,IF(AND($AH$16=KP$11,$AP$16&lt;&gt;""),$AP$16,IF($AH$16=KP$11,$AQ$16,""))))</f>
        <v/>
      </c>
      <c r="KS80" s="878" t="str">
        <f t="shared" si="275"/>
        <v/>
      </c>
      <c r="KT80" s="871" t="str">
        <f t="shared" si="276"/>
        <v/>
      </c>
      <c r="KU80" s="868" t="str">
        <f>IF($AR$16="","",IF(AND($AH$16=KS$11,$AJ$16&lt;&gt;""),$AJ$16,IF(AND($AH$16=KS$11,$AP$16&lt;&gt;""),$AP$16,IF($AH$16=KS$11,$AQ$16,""))))</f>
        <v/>
      </c>
      <c r="KV80" s="878" t="str">
        <f t="shared" si="277"/>
        <v/>
      </c>
      <c r="KW80" s="871" t="str">
        <f t="shared" si="278"/>
        <v/>
      </c>
      <c r="KX80" s="868" t="str">
        <f>IF($AR$16="","",IF(AND($AH$16=KV$11,$AJ$16&lt;&gt;""),$AJ$16,IF(AND($AH$16=KV$11,$AP$16&lt;&gt;""),$AP$16,IF($AH$16=KV$11,$AQ$16,""))))</f>
        <v/>
      </c>
      <c r="KY80" s="878" t="str">
        <f t="shared" si="279"/>
        <v/>
      </c>
      <c r="KZ80" s="871" t="str">
        <f t="shared" si="280"/>
        <v/>
      </c>
      <c r="LA80" s="868" t="str">
        <f>IF($AR$16="","",IF(AND($AH$16=KY$11,$AJ$16&lt;&gt;""),$AJ$16,IF(AND($AH$16=KY$11,$AP$16&lt;&gt;""),$AP$16,IF($AH$16=KY$11,$AQ$16,""))))</f>
        <v/>
      </c>
      <c r="LB80" s="878" t="str">
        <f t="shared" si="281"/>
        <v/>
      </c>
      <c r="LC80" s="871" t="str">
        <f t="shared" si="282"/>
        <v/>
      </c>
      <c r="LD80" s="868" t="str">
        <f>IF($AR$16="","",IF(AND($AH$16=LB$11,$AJ$16&lt;&gt;""),$AJ$16,IF(AND($AH$16=LB$11,$AP$16&lt;&gt;""),$AP$16,IF($AH$16=LB$11,$AQ$16,""))))</f>
        <v/>
      </c>
      <c r="LE80" s="878" t="str">
        <f t="shared" si="283"/>
        <v/>
      </c>
      <c r="LF80" s="871" t="str">
        <f t="shared" si="284"/>
        <v/>
      </c>
      <c r="LG80" s="868" t="str">
        <f>IF($AR$16="","",IF(AND($AH$16=LE$11,$AJ$16&lt;&gt;""),$AJ$16,IF(AND($AH$16=LE$11,$AP$16&lt;&gt;""),$AP$16,IF($AH$16=LE$11,$AQ$16,""))))</f>
        <v/>
      </c>
      <c r="LH80"/>
      <c r="LI80"/>
      <c r="LJ80"/>
      <c r="LK80"/>
      <c r="LL80"/>
      <c r="LM80"/>
    </row>
    <row r="81" spans="4:325">
      <c r="D81" s="8"/>
      <c r="E81" s="8"/>
      <c r="F81" s="8"/>
      <c r="G81" s="8"/>
      <c r="H81" s="8"/>
      <c r="M81" s="8"/>
      <c r="N81" s="8"/>
      <c r="S81" s="8"/>
      <c r="T81" s="8"/>
      <c r="U81" s="8"/>
      <c r="V81" s="8"/>
      <c r="W81" s="8"/>
      <c r="AH81" s="8"/>
      <c r="AI81" s="8"/>
      <c r="AJ81" s="8"/>
      <c r="AK81" s="8"/>
      <c r="BJ81" s="8"/>
      <c r="BY81" s="8"/>
      <c r="BZ81" s="8"/>
      <c r="CC81" s="8"/>
      <c r="CD81" s="8"/>
      <c r="CE81" s="8"/>
      <c r="CF81" s="8"/>
      <c r="CG81" s="762">
        <v>15</v>
      </c>
      <c r="CH81" s="13" t="str">
        <f t="shared" si="250"/>
        <v>Rene Stellingwerf</v>
      </c>
      <c r="CI81" s="770">
        <f t="shared" si="251"/>
        <v>0</v>
      </c>
      <c r="EZ81" s="13">
        <f t="shared" si="245"/>
        <v>5</v>
      </c>
      <c r="FA81" s="249">
        <f t="shared" si="246"/>
        <v>5</v>
      </c>
      <c r="FB81" s="486" t="str">
        <f t="shared" si="247"/>
        <v>Stefan Svensson</v>
      </c>
      <c r="FC81" s="574">
        <f t="shared" si="248"/>
        <v>0</v>
      </c>
      <c r="FD81" s="600">
        <f t="shared" si="249"/>
        <v>5.5000000000000003E-7</v>
      </c>
      <c r="GW81" s="1144"/>
      <c r="GX81" s="230" t="str">
        <f>IF($AR$16="","",IF($JG$17=$GX$3,$JH$17,IF(AND($AL$17=$GX$3,$AP$17&lt;&gt;""),$AP$17,IF(AND($AL$17=$GX$3,$AP$17=""),$AQ$17,""))))</f>
        <v/>
      </c>
      <c r="GY81" s="301">
        <v>11</v>
      </c>
      <c r="GZ81" s="5" t="str">
        <f t="shared" si="285"/>
        <v/>
      </c>
      <c r="HA81" s="95" t="str">
        <f t="shared" si="252"/>
        <v/>
      </c>
      <c r="HB81" s="5"/>
      <c r="HC81" s="95" t="str">
        <f t="shared" si="286"/>
        <v/>
      </c>
      <c r="HG81" s="1144"/>
      <c r="HH81" s="230" t="str">
        <f>IF($AR$16="","",IF($JG$17=$HH$3,$JH$17,IF(AND($AL$17=$HH$3,$AP$17&lt;&gt;""),$AP$17,IF(AND($AL$17=$HH$3,$AP$17=""),$AQ$17,""))))</f>
        <v/>
      </c>
      <c r="HI81" s="301">
        <v>11</v>
      </c>
      <c r="HJ81" s="5" t="str">
        <f t="shared" si="287"/>
        <v/>
      </c>
      <c r="HK81" s="95" t="str">
        <f t="shared" si="253"/>
        <v/>
      </c>
      <c r="HL81" s="5"/>
      <c r="HM81" s="95" t="str">
        <f t="shared" si="254"/>
        <v/>
      </c>
      <c r="JJ81" s="1335"/>
      <c r="JK81" s="876">
        <v>11</v>
      </c>
      <c r="JL81" s="879" t="str">
        <f t="shared" si="288"/>
        <v/>
      </c>
      <c r="JM81" s="662" t="str">
        <f t="shared" si="255"/>
        <v/>
      </c>
      <c r="JN81" s="869" t="str">
        <f>IF($AR$16="","",IF(AND($AH$17=JL$11,$AJ$17&lt;&gt;""),$AJ$17,IF(AND($AH$17=JL$11,$AP$17&lt;&gt;""),$AP$17,IF($AH$17=JL$11,$AQ$17,""))))</f>
        <v/>
      </c>
      <c r="JO81" s="879" t="str">
        <f t="shared" si="289"/>
        <v/>
      </c>
      <c r="JP81" s="662" t="str">
        <f t="shared" si="256"/>
        <v/>
      </c>
      <c r="JQ81" s="869" t="str">
        <f>IF($AR$16="","",IF(AND($AH$17=JO$11,$AJ$17&lt;&gt;""),$AJ$17,IF(AND($AH$17=JO$11,$AP$17&lt;&gt;""),$AP$17,IF($AH$17=JO$11,$AQ$17,""))))</f>
        <v/>
      </c>
      <c r="JR81" s="879" t="str">
        <f t="shared" si="257"/>
        <v/>
      </c>
      <c r="JS81" s="662" t="str">
        <f t="shared" si="258"/>
        <v/>
      </c>
      <c r="JT81" s="869" t="str">
        <f>IF($AR$16="","",IF(AND($AH$17=JR$11,$AJ$17&lt;&gt;""),$AJ$17,IF(AND($AH$17=JR$11,$AP$17&lt;&gt;""),$AP$17,IF($AH$17=JR$11,$AQ$17,""))))</f>
        <v/>
      </c>
      <c r="JU81" s="879" t="str">
        <f t="shared" si="259"/>
        <v/>
      </c>
      <c r="JV81" s="662" t="str">
        <f t="shared" si="260"/>
        <v/>
      </c>
      <c r="JW81" s="869" t="str">
        <f>IF($AR$16="","",IF(AND($AH$17=JU$11,$AJ$17&lt;&gt;""),$AJ$17,IF(AND($AH$17=JU$11,$AP$17&lt;&gt;""),$AP$17,IF($AH$17=JU$11,$AQ$17,""))))</f>
        <v/>
      </c>
      <c r="JX81" s="879" t="str">
        <f t="shared" si="261"/>
        <v/>
      </c>
      <c r="JY81" s="662" t="str">
        <f t="shared" si="262"/>
        <v/>
      </c>
      <c r="JZ81" s="869" t="str">
        <f>IF($AR$16="","",IF(AND($AH$17=JX$11,$AJ$17&lt;&gt;""),$AJ$17,IF(AND($AH$17=JX$11,$AP$17&lt;&gt;""),$AP$17,IF($AH$17=JX$11,$AQ$17,""))))</f>
        <v/>
      </c>
      <c r="KA81" s="879" t="str">
        <f t="shared" si="263"/>
        <v/>
      </c>
      <c r="KB81" s="662" t="str">
        <f t="shared" si="264"/>
        <v/>
      </c>
      <c r="KC81" s="869" t="str">
        <f>IF($AR$16="","",IF(AND($AH$17=KA$11,$AJ$17&lt;&gt;""),$AJ$17,IF(AND($AH$17=KA$11,$AP$17&lt;&gt;""),$AP$17,IF($AH$17=KA$11,$AQ$17,""))))</f>
        <v/>
      </c>
      <c r="KD81" s="879" t="str">
        <f t="shared" si="265"/>
        <v/>
      </c>
      <c r="KE81" s="662" t="str">
        <f t="shared" si="266"/>
        <v/>
      </c>
      <c r="KF81" s="869" t="str">
        <f>IF($AR$16="","",IF(AND($AH$17=KD$11,$AJ$17&lt;&gt;""),$AJ$17,IF(AND($AH$17=KD$11,$AP$17&lt;&gt;""),$AP$17,IF($AH$17=KD$11,$AQ$17,""))))</f>
        <v/>
      </c>
      <c r="KG81" s="879" t="str">
        <f t="shared" si="267"/>
        <v/>
      </c>
      <c r="KH81" s="662" t="str">
        <f t="shared" si="268"/>
        <v/>
      </c>
      <c r="KI81" s="869" t="str">
        <f>IF($AR$16="","",IF(AND($AH$17=KG$11,$AJ$17&lt;&gt;""),$AJ$17,IF(AND($AH$17=KG$11,$AP$17&lt;&gt;""),$AP$17,IF($AH$17=KG$11,$AQ$17,""))))</f>
        <v/>
      </c>
      <c r="KJ81" s="879" t="str">
        <f t="shared" si="269"/>
        <v/>
      </c>
      <c r="KK81" s="662" t="str">
        <f t="shared" si="270"/>
        <v/>
      </c>
      <c r="KL81" s="869" t="str">
        <f>IF($AR$16="","",IF(AND($AH$17=KJ$11,$AJ$17&lt;&gt;""),$AJ$17,IF(AND($AH$17=KJ$11,$AP$17&lt;&gt;""),$AP$17,IF($AH$17=KJ$11,$AQ$17,""))))</f>
        <v/>
      </c>
      <c r="KM81" s="879" t="str">
        <f t="shared" si="271"/>
        <v/>
      </c>
      <c r="KN81" s="662" t="str">
        <f t="shared" si="272"/>
        <v/>
      </c>
      <c r="KO81" s="869" t="str">
        <f>IF($AR$16="","",IF(AND($AH$17=KM$11,$AJ$17&lt;&gt;""),$AJ$17,IF(AND($AH$17=KM$11,$AP$17&lt;&gt;""),$AP$17,IF($AH$17=KM$11,$AQ$17,""))))</f>
        <v/>
      </c>
      <c r="KP81" s="879" t="str">
        <f t="shared" si="273"/>
        <v/>
      </c>
      <c r="KQ81" s="662" t="str">
        <f t="shared" si="274"/>
        <v/>
      </c>
      <c r="KR81" s="869" t="str">
        <f>IF($AR$16="","",IF(AND($AH$17=KP$11,$AJ$17&lt;&gt;""),$AJ$17,IF(AND($AH$17=KP$11,$AP$17&lt;&gt;""),$AP$17,IF($AH$17=KP$11,$AQ$17,""))))</f>
        <v/>
      </c>
      <c r="KS81" s="879" t="str">
        <f t="shared" si="275"/>
        <v/>
      </c>
      <c r="KT81" s="662" t="str">
        <f t="shared" si="276"/>
        <v/>
      </c>
      <c r="KU81" s="869" t="str">
        <f>IF($AR$16="","",IF(AND($AH$17=KS$11,$AJ$17&lt;&gt;""),$AJ$17,IF(AND($AH$17=KS$11,$AP$17&lt;&gt;""),$AP$17,IF($AH$17=KS$11,$AQ$17,""))))</f>
        <v/>
      </c>
      <c r="KV81" s="879" t="str">
        <f t="shared" si="277"/>
        <v/>
      </c>
      <c r="KW81" s="662" t="str">
        <f t="shared" si="278"/>
        <v/>
      </c>
      <c r="KX81" s="869" t="str">
        <f>IF($AR$16="","",IF(AND($AH$17=KV$11,$AJ$17&lt;&gt;""),$AJ$17,IF(AND($AH$17=KV$11,$AP$17&lt;&gt;""),$AP$17,IF($AH$17=KV$11,$AQ$17,""))))</f>
        <v/>
      </c>
      <c r="KY81" s="879" t="str">
        <f t="shared" si="279"/>
        <v/>
      </c>
      <c r="KZ81" s="662" t="str">
        <f t="shared" si="280"/>
        <v/>
      </c>
      <c r="LA81" s="869" t="str">
        <f>IF($AR$16="","",IF(AND($AH$17=KY$11,$AJ$17&lt;&gt;""),$AJ$17,IF(AND($AH$17=KY$11,$AP$17&lt;&gt;""),$AP$17,IF($AH$17=KY$11,$AQ$17,""))))</f>
        <v/>
      </c>
      <c r="LB81" s="879" t="str">
        <f t="shared" si="281"/>
        <v/>
      </c>
      <c r="LC81" s="662" t="str">
        <f t="shared" si="282"/>
        <v/>
      </c>
      <c r="LD81" s="869" t="str">
        <f>IF($AR$16="","",IF(AND($AH$17=LB$11,$AJ$17&lt;&gt;""),$AJ$17,IF(AND($AH$17=LB$11,$AP$17&lt;&gt;""),$AP$17,IF($AH$17=LB$11,$AQ$17,""))))</f>
        <v/>
      </c>
      <c r="LE81" s="879" t="str">
        <f t="shared" si="283"/>
        <v/>
      </c>
      <c r="LF81" s="662" t="str">
        <f t="shared" si="284"/>
        <v/>
      </c>
      <c r="LG81" s="869" t="str">
        <f>IF($AR$16="","",IF(AND($AH$17=LE$11,$AJ$17&lt;&gt;""),$AJ$17,IF(AND($AH$17=LE$11,$AP$17&lt;&gt;""),$AP$17,IF($AH$17=LE$11,$AQ$17,""))))</f>
        <v/>
      </c>
      <c r="LH81"/>
      <c r="LI81"/>
      <c r="LJ81"/>
      <c r="LK81"/>
      <c r="LL81"/>
      <c r="LM81"/>
    </row>
    <row r="82" spans="4:325">
      <c r="D82" s="8"/>
      <c r="E82" s="8"/>
      <c r="F82" s="8"/>
      <c r="G82" s="8"/>
      <c r="H82" s="8"/>
      <c r="M82" s="8"/>
      <c r="N82" s="8"/>
      <c r="S82" s="8"/>
      <c r="T82" s="8"/>
      <c r="U82" s="8"/>
      <c r="V82" s="8"/>
      <c r="W82" s="8"/>
      <c r="AH82" s="8"/>
      <c r="AI82" s="8"/>
      <c r="AJ82" s="8"/>
      <c r="AK82" s="8"/>
      <c r="BJ82" s="8"/>
      <c r="BY82" s="8"/>
      <c r="BZ82" s="8"/>
      <c r="CC82" s="8"/>
      <c r="CD82" s="8"/>
      <c r="CE82" s="8"/>
      <c r="CF82" s="8"/>
      <c r="CG82" s="762">
        <v>16</v>
      </c>
      <c r="CH82" s="13" t="str">
        <f t="shared" si="250"/>
        <v>Simon Reitsma</v>
      </c>
      <c r="CI82" s="770">
        <f t="shared" si="251"/>
        <v>0</v>
      </c>
      <c r="EZ82" s="13">
        <f t="shared" si="245"/>
        <v>16</v>
      </c>
      <c r="FA82" s="249">
        <f t="shared" si="246"/>
        <v>16</v>
      </c>
      <c r="FB82" s="486" t="str">
        <f t="shared" si="247"/>
        <v>Simon Reitsma</v>
      </c>
      <c r="FC82" s="574">
        <f t="shared" si="248"/>
        <v>0</v>
      </c>
      <c r="FD82" s="600">
        <f t="shared" si="249"/>
        <v>4.3000000000000001E-7</v>
      </c>
      <c r="GW82" s="1144"/>
      <c r="GX82" s="230" t="str">
        <f>IF($AR$16="","",IF($JG$18=$GX$3,$JH$18,IF(AND($AL$18=$GX$3,$AP$18&lt;&gt;""),$AP$18,IF(AND($AL$18=$GX$3,$AP$18=""),$AQ$18,""))))</f>
        <v/>
      </c>
      <c r="GY82" s="301">
        <v>10</v>
      </c>
      <c r="GZ82" s="5" t="str">
        <f t="shared" si="285"/>
        <v/>
      </c>
      <c r="HA82" s="95" t="str">
        <f t="shared" si="252"/>
        <v/>
      </c>
      <c r="HB82" s="5"/>
      <c r="HC82" s="95" t="str">
        <f t="shared" si="286"/>
        <v/>
      </c>
      <c r="HG82" s="1144"/>
      <c r="HH82" s="230" t="str">
        <f>IF($AR$16="","",IF($JG$18=$HH$3,$JH$18,IF(AND($AL$18=$HH$3,$AP$18&lt;&gt;""),$AP$18,IF(AND($AL$18=$HH$3,$AP$18=""),$AQ$18,""))))</f>
        <v/>
      </c>
      <c r="HI82" s="301">
        <v>10</v>
      </c>
      <c r="HJ82" s="5" t="str">
        <f t="shared" si="287"/>
        <v/>
      </c>
      <c r="HK82" s="95" t="str">
        <f t="shared" si="253"/>
        <v/>
      </c>
      <c r="HL82" s="5"/>
      <c r="HM82" s="95" t="str">
        <f t="shared" si="254"/>
        <v/>
      </c>
      <c r="JJ82" s="1335"/>
      <c r="JK82" s="876">
        <v>10</v>
      </c>
      <c r="JL82" s="879" t="str">
        <f t="shared" si="288"/>
        <v/>
      </c>
      <c r="JM82" s="662" t="str">
        <f t="shared" si="255"/>
        <v/>
      </c>
      <c r="JN82" s="869" t="str">
        <f>IF($AR$16="","",IF(AND($AH$18=JL$11,$AJ$18&lt;&gt;""),$AJ$18,IF(AND($AH$18=JL$11,$AP$18&lt;&gt;""),$AP$18,IF($AH$18=JL$11,$AQ$18,""))))</f>
        <v/>
      </c>
      <c r="JO82" s="879" t="str">
        <f t="shared" si="289"/>
        <v/>
      </c>
      <c r="JP82" s="662" t="str">
        <f t="shared" si="256"/>
        <v/>
      </c>
      <c r="JQ82" s="869" t="str">
        <f>IF($AR$16="","",IF(AND($AH$18=JO$11,$AJ$18&lt;&gt;""),$AJ$18,IF(AND($AH$18=JO$11,$AP$18&lt;&gt;""),$AP$18,IF($AH$18=JO$11,$AQ$18,""))))</f>
        <v/>
      </c>
      <c r="JR82" s="879" t="str">
        <f t="shared" si="257"/>
        <v/>
      </c>
      <c r="JS82" s="662" t="str">
        <f t="shared" si="258"/>
        <v/>
      </c>
      <c r="JT82" s="869" t="str">
        <f>IF($AR$16="","",IF(AND($AH$18=JR$11,$AJ$18&lt;&gt;""),$AJ$18,IF(AND($AH$18=JR$11,$AP$18&lt;&gt;""),$AP$18,IF($AH$18=JR$11,$AQ$18,""))))</f>
        <v/>
      </c>
      <c r="JU82" s="879" t="str">
        <f t="shared" si="259"/>
        <v/>
      </c>
      <c r="JV82" s="662" t="str">
        <f t="shared" si="260"/>
        <v/>
      </c>
      <c r="JW82" s="869" t="str">
        <f>IF($AR$16="","",IF(AND($AH$18=JU$11,$AJ$18&lt;&gt;""),$AJ$18,IF(AND($AH$18=JU$11,$AP$18&lt;&gt;""),$AP$18,IF($AH$18=JU$11,$AQ$18,""))))</f>
        <v/>
      </c>
      <c r="JX82" s="879" t="str">
        <f t="shared" si="261"/>
        <v/>
      </c>
      <c r="JY82" s="662" t="str">
        <f t="shared" si="262"/>
        <v/>
      </c>
      <c r="JZ82" s="869" t="str">
        <f>IF($AR$16="","",IF(AND($AH$18=JX$11,$AJ$18&lt;&gt;""),$AJ$18,IF(AND($AH$18=JX$11,$AP$18&lt;&gt;""),$AP$18,IF($AH$18=JX$11,$AQ$18,""))))</f>
        <v/>
      </c>
      <c r="KA82" s="879" t="str">
        <f t="shared" si="263"/>
        <v/>
      </c>
      <c r="KB82" s="662" t="str">
        <f t="shared" si="264"/>
        <v/>
      </c>
      <c r="KC82" s="869" t="str">
        <f>IF($AR$16="","",IF(AND($AH$18=KA$11,$AJ$18&lt;&gt;""),$AJ$18,IF(AND($AH$18=KA$11,$AP$18&lt;&gt;""),$AP$18,IF($AH$18=KA$11,$AQ$18,""))))</f>
        <v/>
      </c>
      <c r="KD82" s="879" t="str">
        <f t="shared" si="265"/>
        <v/>
      </c>
      <c r="KE82" s="662" t="str">
        <f t="shared" si="266"/>
        <v/>
      </c>
      <c r="KF82" s="869" t="str">
        <f>IF($AR$16="","",IF(AND($AH$18=KD$11,$AJ$18&lt;&gt;""),$AJ$18,IF(AND($AH$18=KD$11,$AP$18&lt;&gt;""),$AP$18,IF($AH$18=KD$11,$AQ$18,""))))</f>
        <v/>
      </c>
      <c r="KG82" s="879" t="str">
        <f t="shared" si="267"/>
        <v/>
      </c>
      <c r="KH82" s="662" t="str">
        <f t="shared" si="268"/>
        <v/>
      </c>
      <c r="KI82" s="869" t="str">
        <f>IF($AR$16="","",IF(AND($AH$18=KG$11,$AJ$18&lt;&gt;""),$AJ$18,IF(AND($AH$18=KG$11,$AP$18&lt;&gt;""),$AP$18,IF($AH$18=KG$11,$AQ$18,""))))</f>
        <v/>
      </c>
      <c r="KJ82" s="879" t="str">
        <f t="shared" si="269"/>
        <v/>
      </c>
      <c r="KK82" s="662" t="str">
        <f t="shared" si="270"/>
        <v/>
      </c>
      <c r="KL82" s="869" t="str">
        <f>IF($AR$16="","",IF(AND($AH$18=KJ$11,$AJ$18&lt;&gt;""),$AJ$18,IF(AND($AH$18=KJ$11,$AP$18&lt;&gt;""),$AP$18,IF($AH$18=KJ$11,$AQ$18,""))))</f>
        <v/>
      </c>
      <c r="KM82" s="879" t="str">
        <f t="shared" si="271"/>
        <v/>
      </c>
      <c r="KN82" s="662" t="str">
        <f t="shared" si="272"/>
        <v/>
      </c>
      <c r="KO82" s="869" t="str">
        <f>IF($AR$16="","",IF(AND($AH$18=KM$11,$AJ$18&lt;&gt;""),$AJ$18,IF(AND($AH$18=KM$11,$AP$18&lt;&gt;""),$AP$18,IF($AH$18=KM$11,$AQ$18,""))))</f>
        <v/>
      </c>
      <c r="KP82" s="879" t="str">
        <f t="shared" si="273"/>
        <v/>
      </c>
      <c r="KQ82" s="662" t="str">
        <f t="shared" si="274"/>
        <v/>
      </c>
      <c r="KR82" s="869" t="str">
        <f>IF($AR$16="","",IF(AND($AH$18=KP$11,$AJ$18&lt;&gt;""),$AJ$18,IF(AND($AH$18=KP$11,$AP$18&lt;&gt;""),$AP$18,IF($AH$18=KP$11,$AQ$18,""))))</f>
        <v/>
      </c>
      <c r="KS82" s="879" t="str">
        <f t="shared" si="275"/>
        <v/>
      </c>
      <c r="KT82" s="662" t="str">
        <f t="shared" si="276"/>
        <v/>
      </c>
      <c r="KU82" s="869" t="str">
        <f>IF($AR$16="","",IF(AND($AH$18=KS$11,$AJ$18&lt;&gt;""),$AJ$18,IF(AND($AH$18=KS$11,$AP$18&lt;&gt;""),$AP$18,IF($AH$18=KS$11,$AQ$18,""))))</f>
        <v/>
      </c>
      <c r="KV82" s="879" t="str">
        <f t="shared" si="277"/>
        <v/>
      </c>
      <c r="KW82" s="662" t="str">
        <f t="shared" si="278"/>
        <v/>
      </c>
      <c r="KX82" s="869" t="str">
        <f>IF($AR$16="","",IF(AND($AH$18=KV$11,$AJ$18&lt;&gt;""),$AJ$18,IF(AND($AH$18=KV$11,$AP$18&lt;&gt;""),$AP$18,IF($AH$18=KV$11,$AQ$18,""))))</f>
        <v/>
      </c>
      <c r="KY82" s="879" t="str">
        <f t="shared" si="279"/>
        <v/>
      </c>
      <c r="KZ82" s="662" t="str">
        <f t="shared" si="280"/>
        <v/>
      </c>
      <c r="LA82" s="869" t="str">
        <f>IF($AR$16="","",IF(AND($AH$18=KY$11,$AJ$18&lt;&gt;""),$AJ$18,IF(AND($AH$18=KY$11,$AP$18&lt;&gt;""),$AP$18,IF($AH$18=KY$11,$AQ$18,""))))</f>
        <v/>
      </c>
      <c r="LB82" s="879" t="str">
        <f t="shared" si="281"/>
        <v/>
      </c>
      <c r="LC82" s="662" t="str">
        <f t="shared" si="282"/>
        <v/>
      </c>
      <c r="LD82" s="869" t="str">
        <f>IF($AR$16="","",IF(AND($AH$18=LB$11,$AJ$18&lt;&gt;""),$AJ$18,IF(AND($AH$18=LB$11,$AP$18&lt;&gt;""),$AP$18,IF($AH$18=LB$11,$AQ$18,""))))</f>
        <v/>
      </c>
      <c r="LE82" s="879" t="str">
        <f t="shared" si="283"/>
        <v/>
      </c>
      <c r="LF82" s="662" t="str">
        <f t="shared" si="284"/>
        <v/>
      </c>
      <c r="LG82" s="869" t="str">
        <f>IF($AR$16="","",IF(AND($AH$18=LE$11,$AJ$18&lt;&gt;""),$AJ$18,IF(AND($AH$18=LE$11,$AP$18&lt;&gt;""),$AP$18,IF($AH$18=LE$11,$AQ$18,""))))</f>
        <v/>
      </c>
      <c r="LH82"/>
      <c r="LI82"/>
      <c r="LJ82"/>
      <c r="LK82"/>
      <c r="LL82"/>
      <c r="LM82"/>
    </row>
    <row r="83" spans="4:325" ht="13.5" thickBot="1">
      <c r="D83" s="8"/>
      <c r="E83" s="8"/>
      <c r="F83" s="8"/>
      <c r="G83" s="8"/>
      <c r="H83" s="8"/>
      <c r="M83" s="8"/>
      <c r="N83" s="8"/>
      <c r="S83" s="8"/>
      <c r="T83" s="8"/>
      <c r="U83" s="8"/>
      <c r="V83" s="8"/>
      <c r="W83" s="8"/>
      <c r="AH83" s="8"/>
      <c r="AI83" s="8"/>
      <c r="AJ83" s="8"/>
      <c r="AK83" s="8"/>
      <c r="BJ83" s="8"/>
      <c r="BY83" s="8"/>
      <c r="BZ83" s="8"/>
      <c r="CC83" s="8"/>
      <c r="CD83" s="8"/>
      <c r="CE83" s="8"/>
      <c r="CF83" s="8"/>
      <c r="CG83" s="762">
        <v>17</v>
      </c>
      <c r="CH83" s="13" t="str">
        <f t="shared" si="250"/>
        <v>Max Niedermaier</v>
      </c>
      <c r="CI83" s="770">
        <f t="shared" si="251"/>
        <v>0</v>
      </c>
      <c r="EZ83" s="13">
        <f t="shared" si="245"/>
        <v>17</v>
      </c>
      <c r="FA83" s="251">
        <f t="shared" si="246"/>
        <v>17</v>
      </c>
      <c r="FB83" s="487" t="str">
        <f t="shared" si="247"/>
        <v>Max Niedermaier</v>
      </c>
      <c r="FC83" s="575">
        <f t="shared" si="248"/>
        <v>0</v>
      </c>
      <c r="FD83" s="600">
        <f t="shared" si="249"/>
        <v>4.2E-7</v>
      </c>
      <c r="GW83" s="1145"/>
      <c r="GX83" s="231" t="str">
        <f>IF($AR$16="","",IF($JG$19=$GX$3,$JH$19,IF(AND($AL$19=$GX$3,$AP$19&lt;&gt;""),$AP$19,IF(AND($AL$19=$GX$3,$AP$19=""),$AQ$19,""))))</f>
        <v/>
      </c>
      <c r="GY83" s="302">
        <v>9</v>
      </c>
      <c r="GZ83" s="303" t="str">
        <f t="shared" si="285"/>
        <v/>
      </c>
      <c r="HA83" s="98" t="str">
        <f t="shared" si="252"/>
        <v/>
      </c>
      <c r="HB83" s="303"/>
      <c r="HC83" s="98" t="str">
        <f t="shared" si="286"/>
        <v/>
      </c>
      <c r="HG83" s="1145"/>
      <c r="HH83" s="231" t="str">
        <f>IF($AR$16="","",IF($JG$19=$HH$3,$JH$19,IF(AND($AL$19=$HH$3,$AP$19&lt;&gt;""),$AP$19,IF(AND($AL$19=$HH$3,$AP$19=""),$AQ$19,""))))</f>
        <v/>
      </c>
      <c r="HI83" s="302">
        <v>9</v>
      </c>
      <c r="HJ83" s="303" t="str">
        <f t="shared" si="287"/>
        <v/>
      </c>
      <c r="HK83" s="98" t="str">
        <f t="shared" si="253"/>
        <v/>
      </c>
      <c r="HL83" s="303"/>
      <c r="HM83" s="98" t="str">
        <f t="shared" si="254"/>
        <v/>
      </c>
      <c r="JJ83" s="1336"/>
      <c r="JK83" s="877">
        <v>9</v>
      </c>
      <c r="JL83" s="880" t="str">
        <f t="shared" si="288"/>
        <v/>
      </c>
      <c r="JM83" s="873" t="str">
        <f t="shared" si="255"/>
        <v/>
      </c>
      <c r="JN83" s="870" t="str">
        <f>IF($AR$16="","",IF(AND($AH$19=JL$11,$AJ$19&lt;&gt;""),$AJ$19,IF(AND($AH$19=JL$11,$AP$19&lt;&gt;""),$AP$19,IF($AH$19=JL$11,$AQ$19,""))))</f>
        <v/>
      </c>
      <c r="JO83" s="880" t="str">
        <f t="shared" si="289"/>
        <v/>
      </c>
      <c r="JP83" s="873" t="str">
        <f t="shared" si="256"/>
        <v/>
      </c>
      <c r="JQ83" s="870" t="str">
        <f>IF($AR$16="","",IF(AND($AH$19=JO$11,$AJ$19&lt;&gt;""),$AJ$19,IF(AND($AH$19=JO$11,$AP$19&lt;&gt;""),$AP$19,IF($AH$19=JO$11,$AQ$19,""))))</f>
        <v/>
      </c>
      <c r="JR83" s="880" t="str">
        <f t="shared" si="257"/>
        <v/>
      </c>
      <c r="JS83" s="873" t="str">
        <f t="shared" si="258"/>
        <v/>
      </c>
      <c r="JT83" s="870" t="str">
        <f>IF($AR$16="","",IF(AND($AH$19=JR$11,$AJ$19&lt;&gt;""),$AJ$19,IF(AND($AH$19=JR$11,$AP$19&lt;&gt;""),$AP$19,IF($AH$19=JR$11,$AQ$19,""))))</f>
        <v/>
      </c>
      <c r="JU83" s="880" t="str">
        <f t="shared" si="259"/>
        <v/>
      </c>
      <c r="JV83" s="873" t="str">
        <f t="shared" si="260"/>
        <v/>
      </c>
      <c r="JW83" s="870" t="str">
        <f>IF($AR$16="","",IF(AND($AH$19=JU$11,$AJ$19&lt;&gt;""),$AJ$19,IF(AND($AH$19=JU$11,$AP$19&lt;&gt;""),$AP$19,IF($AH$19=JU$11,$AQ$19,""))))</f>
        <v/>
      </c>
      <c r="JX83" s="880" t="str">
        <f t="shared" si="261"/>
        <v/>
      </c>
      <c r="JY83" s="873" t="str">
        <f t="shared" si="262"/>
        <v/>
      </c>
      <c r="JZ83" s="870" t="str">
        <f>IF($AR$16="","",IF(AND($AH$19=JX$11,$AJ$19&lt;&gt;""),$AJ$19,IF(AND($AH$19=JX$11,$AP$19&lt;&gt;""),$AP$19,IF($AH$19=JX$11,$AQ$19,""))))</f>
        <v/>
      </c>
      <c r="KA83" s="880" t="str">
        <f t="shared" si="263"/>
        <v/>
      </c>
      <c r="KB83" s="873" t="str">
        <f t="shared" si="264"/>
        <v/>
      </c>
      <c r="KC83" s="870" t="str">
        <f>IF($AR$16="","",IF(AND($AH$19=KA$11,$AJ$19&lt;&gt;""),$AJ$19,IF(AND($AH$19=KA$11,$AP$19&lt;&gt;""),$AP$19,IF($AH$19=KA$11,$AQ$19,""))))</f>
        <v/>
      </c>
      <c r="KD83" s="880" t="str">
        <f t="shared" si="265"/>
        <v/>
      </c>
      <c r="KE83" s="873" t="str">
        <f t="shared" si="266"/>
        <v/>
      </c>
      <c r="KF83" s="870" t="str">
        <f>IF($AR$16="","",IF(AND($AH$19=KD$11,$AJ$19&lt;&gt;""),$AJ$19,IF(AND($AH$19=KD$11,$AP$19&lt;&gt;""),$AP$19,IF($AH$19=KD$11,$AQ$19,""))))</f>
        <v/>
      </c>
      <c r="KG83" s="880" t="str">
        <f t="shared" si="267"/>
        <v/>
      </c>
      <c r="KH83" s="873" t="str">
        <f t="shared" si="268"/>
        <v/>
      </c>
      <c r="KI83" s="870" t="str">
        <f>IF($AR$16="","",IF(AND($AH$19=KG$11,$AJ$19&lt;&gt;""),$AJ$19,IF(AND($AH$19=KG$11,$AP$19&lt;&gt;""),$AP$19,IF($AH$19=KG$11,$AQ$19,""))))</f>
        <v/>
      </c>
      <c r="KJ83" s="880" t="str">
        <f t="shared" si="269"/>
        <v/>
      </c>
      <c r="KK83" s="873" t="str">
        <f t="shared" si="270"/>
        <v/>
      </c>
      <c r="KL83" s="870" t="str">
        <f>IF($AR$16="","",IF(AND($AH$19=KJ$11,$AJ$19&lt;&gt;""),$AJ$19,IF(AND($AH$19=KJ$11,$AP$19&lt;&gt;""),$AP$19,IF($AH$19=KJ$11,$AQ$19,""))))</f>
        <v/>
      </c>
      <c r="KM83" s="880" t="str">
        <f t="shared" si="271"/>
        <v/>
      </c>
      <c r="KN83" s="873" t="str">
        <f t="shared" si="272"/>
        <v/>
      </c>
      <c r="KO83" s="870" t="str">
        <f>IF($AR$16="","",IF(AND($AH$19=KM$11,$AJ$19&lt;&gt;""),$AJ$19,IF(AND($AH$19=KM$11,$AP$19&lt;&gt;""),$AP$19,IF($AH$19=KM$11,$AQ$19,""))))</f>
        <v/>
      </c>
      <c r="KP83" s="880" t="str">
        <f t="shared" si="273"/>
        <v/>
      </c>
      <c r="KQ83" s="873" t="str">
        <f t="shared" si="274"/>
        <v/>
      </c>
      <c r="KR83" s="870" t="str">
        <f>IF($AR$16="","",IF(AND($AH$19=KP$11,$AJ$19&lt;&gt;""),$AJ$19,IF(AND($AH$19=KP$11,$AP$19&lt;&gt;""),$AP$19,IF($AH$19=KP$11,$AQ$19,""))))</f>
        <v/>
      </c>
      <c r="KS83" s="880" t="str">
        <f t="shared" si="275"/>
        <v/>
      </c>
      <c r="KT83" s="873" t="str">
        <f t="shared" si="276"/>
        <v/>
      </c>
      <c r="KU83" s="870" t="str">
        <f>IF($AR$16="","",IF(AND($AH$19=KS$11,$AJ$19&lt;&gt;""),$AJ$19,IF(AND($AH$19=KS$11,$AP$19&lt;&gt;""),$AP$19,IF($AH$19=KS$11,$AQ$19,""))))</f>
        <v/>
      </c>
      <c r="KV83" s="880" t="str">
        <f t="shared" si="277"/>
        <v/>
      </c>
      <c r="KW83" s="873" t="str">
        <f t="shared" si="278"/>
        <v/>
      </c>
      <c r="KX83" s="870" t="str">
        <f>IF($AR$16="","",IF(AND($AH$19=KV$11,$AJ$19&lt;&gt;""),$AJ$19,IF(AND($AH$19=KV$11,$AP$19&lt;&gt;""),$AP$19,IF($AH$19=KV$11,$AQ$19,""))))</f>
        <v/>
      </c>
      <c r="KY83" s="880" t="str">
        <f t="shared" si="279"/>
        <v/>
      </c>
      <c r="KZ83" s="873" t="str">
        <f t="shared" si="280"/>
        <v/>
      </c>
      <c r="LA83" s="870" t="str">
        <f>IF($AR$16="","",IF(AND($AH$19=KY$11,$AJ$19&lt;&gt;""),$AJ$19,IF(AND($AH$19=KY$11,$AP$19&lt;&gt;""),$AP$19,IF($AH$19=KY$11,$AQ$19,""))))</f>
        <v/>
      </c>
      <c r="LB83" s="880" t="str">
        <f t="shared" si="281"/>
        <v/>
      </c>
      <c r="LC83" s="873" t="str">
        <f t="shared" si="282"/>
        <v/>
      </c>
      <c r="LD83" s="870" t="str">
        <f>IF($AR$16="","",IF(AND($AH$19=LB$11,$AJ$19&lt;&gt;""),$AJ$19,IF(AND($AH$19=LB$11,$AP$19&lt;&gt;""),$AP$19,IF($AH$19=LB$11,$AQ$19,""))))</f>
        <v/>
      </c>
      <c r="LE83" s="880" t="str">
        <f t="shared" si="283"/>
        <v/>
      </c>
      <c r="LF83" s="873" t="str">
        <f t="shared" si="284"/>
        <v/>
      </c>
      <c r="LG83" s="870" t="str">
        <f>IF($AR$16="","",IF(AND($AH$19=LE$11,$AJ$19&lt;&gt;""),$AJ$19,IF(AND($AH$19=LE$11,$AP$19&lt;&gt;""),$AP$19,IF($AH$19=LE$11,$AQ$19,""))))</f>
        <v/>
      </c>
      <c r="LH83"/>
      <c r="LI83"/>
      <c r="LJ83"/>
      <c r="LK83"/>
      <c r="LL83"/>
      <c r="LM83"/>
    </row>
    <row r="84" spans="4:325">
      <c r="D84" s="8"/>
      <c r="E84" s="8"/>
      <c r="F84" s="8"/>
      <c r="G84" s="8"/>
      <c r="H84" s="8"/>
      <c r="M84" s="8"/>
      <c r="N84" s="8"/>
      <c r="S84" s="8"/>
      <c r="T84" s="8"/>
      <c r="U84" s="8"/>
      <c r="V84" s="8"/>
      <c r="W84" s="8"/>
      <c r="AH84" s="8"/>
      <c r="AI84" s="8"/>
      <c r="AJ84" s="8"/>
      <c r="AK84" s="8"/>
      <c r="BJ84" s="8"/>
      <c r="BY84" s="8"/>
      <c r="BZ84" s="8"/>
      <c r="CC84" s="8"/>
      <c r="CD84" s="8"/>
      <c r="CE84" s="8"/>
      <c r="CF84" s="8"/>
      <c r="CG84" s="762">
        <v>18</v>
      </c>
      <c r="CH84" s="13" t="str">
        <f t="shared" si="250"/>
        <v>Daniel Henderson</v>
      </c>
      <c r="CI84" s="770">
        <f t="shared" si="251"/>
        <v>0</v>
      </c>
      <c r="GW84" s="1143">
        <v>19</v>
      </c>
      <c r="GX84" s="229" t="str">
        <f>IF($AR$20="","",IF($JG$20=$GX$3,$JH$20,IF(AND($AL$20=$GX$3,$AP$20&lt;&gt;""),$AP$20,IF(AND($AL$20=$GX$3,$AP$20=""),$AQ$20,""))))</f>
        <v/>
      </c>
      <c r="GY84" s="299">
        <v>8</v>
      </c>
      <c r="GZ84" s="300" t="str">
        <f t="shared" si="285"/>
        <v/>
      </c>
      <c r="HA84" s="93" t="str">
        <f t="shared" si="252"/>
        <v/>
      </c>
      <c r="HB84" s="300"/>
      <c r="HC84" s="93" t="str">
        <f t="shared" si="286"/>
        <v/>
      </c>
      <c r="HG84" s="1143">
        <v>19</v>
      </c>
      <c r="HH84" s="229" t="str">
        <f>IF($AR$20="","",IF($JG$20=$HH$3,$JH$20,IF(AND($AL$20=$HH$3,$AP$20&lt;&gt;""),$AP$20,IF(AND($AL$20=$HH$3,$AP$20=""),$AQ$20,""))))</f>
        <v/>
      </c>
      <c r="HI84" s="299">
        <v>8</v>
      </c>
      <c r="HJ84" s="300" t="str">
        <f t="shared" si="287"/>
        <v/>
      </c>
      <c r="HK84" s="93" t="str">
        <f t="shared" si="253"/>
        <v/>
      </c>
      <c r="HL84" s="300"/>
      <c r="HM84" s="93" t="str">
        <f t="shared" si="254"/>
        <v/>
      </c>
      <c r="JJ84" s="1334">
        <v>19</v>
      </c>
      <c r="JK84" s="875">
        <v>8</v>
      </c>
      <c r="JL84" s="878" t="str">
        <f t="shared" si="288"/>
        <v/>
      </c>
      <c r="JM84" s="871" t="str">
        <f t="shared" si="255"/>
        <v/>
      </c>
      <c r="JN84" s="868" t="str">
        <f>IF($AR$20="","",IF(AND($AH$20=JL$11,$AJ$20&lt;&gt;""),$AJ$20,IF(AND($AH$20=JL$11,$AP$20&lt;&gt;""),$AP$20,IF($AH$20=JL$11,$AQ$20,""))))</f>
        <v/>
      </c>
      <c r="JO84" s="878" t="str">
        <f t="shared" si="289"/>
        <v/>
      </c>
      <c r="JP84" s="871" t="str">
        <f t="shared" si="256"/>
        <v/>
      </c>
      <c r="JQ84" s="868" t="str">
        <f>IF($AR$20="","",IF(AND($AH$20=JO$11,$AJ$20&lt;&gt;""),$AJ$20,IF(AND($AH$20=JO$11,$AP$20&lt;&gt;""),$AP$20,IF($AH$20=JO$11,$AQ$20,""))))</f>
        <v/>
      </c>
      <c r="JR84" s="878" t="str">
        <f t="shared" si="257"/>
        <v/>
      </c>
      <c r="JS84" s="871" t="str">
        <f t="shared" si="258"/>
        <v/>
      </c>
      <c r="JT84" s="868" t="str">
        <f>IF($AR$20="","",IF(AND($AH$20=JR$11,$AJ$20&lt;&gt;""),$AJ$20,IF(AND($AH$20=JR$11,$AP$20&lt;&gt;""),$AP$20,IF($AH$20=JR$11,$AQ$20,""))))</f>
        <v/>
      </c>
      <c r="JU84" s="878" t="str">
        <f t="shared" si="259"/>
        <v/>
      </c>
      <c r="JV84" s="871" t="str">
        <f t="shared" si="260"/>
        <v/>
      </c>
      <c r="JW84" s="868" t="str">
        <f>IF($AR$20="","",IF(AND($AH$20=JU$11,$AJ$20&lt;&gt;""),$AJ$20,IF(AND($AH$20=JU$11,$AP$20&lt;&gt;""),$AP$20,IF($AH$20=JU$11,$AQ$20,""))))</f>
        <v/>
      </c>
      <c r="JX84" s="878" t="str">
        <f t="shared" si="261"/>
        <v/>
      </c>
      <c r="JY84" s="871" t="str">
        <f t="shared" si="262"/>
        <v/>
      </c>
      <c r="JZ84" s="868" t="str">
        <f>IF($AR$20="","",IF(AND($AH$20=JX$11,$AJ$20&lt;&gt;""),$AJ$20,IF(AND($AH$20=JX$11,$AP$20&lt;&gt;""),$AP$20,IF($AH$20=JX$11,$AQ$20,""))))</f>
        <v/>
      </c>
      <c r="KA84" s="878" t="str">
        <f t="shared" si="263"/>
        <v/>
      </c>
      <c r="KB84" s="871" t="str">
        <f t="shared" si="264"/>
        <v/>
      </c>
      <c r="KC84" s="868" t="str">
        <f>IF($AR$20="","",IF(AND($AH$20=KA$11,$AJ$20&lt;&gt;""),$AJ$20,IF(AND($AH$20=KA$11,$AP$20&lt;&gt;""),$AP$20,IF($AH$20=KA$11,$AQ$20,""))))</f>
        <v/>
      </c>
      <c r="KD84" s="878" t="str">
        <f t="shared" si="265"/>
        <v/>
      </c>
      <c r="KE84" s="871" t="str">
        <f t="shared" si="266"/>
        <v/>
      </c>
      <c r="KF84" s="868" t="str">
        <f>IF($AR$20="","",IF(AND($AH$20=KD$11,$AJ$20&lt;&gt;""),$AJ$20,IF(AND($AH$20=KD$11,$AP$20&lt;&gt;""),$AP$20,IF($AH$20=KD$11,$AQ$20,""))))</f>
        <v/>
      </c>
      <c r="KG84" s="878" t="str">
        <f t="shared" si="267"/>
        <v/>
      </c>
      <c r="KH84" s="871" t="str">
        <f t="shared" si="268"/>
        <v/>
      </c>
      <c r="KI84" s="868" t="str">
        <f>IF($AR$20="","",IF(AND($AH$20=KG$11,$AJ$20&lt;&gt;""),$AJ$20,IF(AND($AH$20=KG$11,$AP$20&lt;&gt;""),$AP$20,IF($AH$20=KG$11,$AQ$20,""))))</f>
        <v/>
      </c>
      <c r="KJ84" s="878" t="str">
        <f t="shared" si="269"/>
        <v/>
      </c>
      <c r="KK84" s="871" t="str">
        <f t="shared" si="270"/>
        <v/>
      </c>
      <c r="KL84" s="868" t="str">
        <f>IF($AR$20="","",IF(AND($AH$20=KJ$11,$AJ$20&lt;&gt;""),$AJ$20,IF(AND($AH$20=KJ$11,$AP$20&lt;&gt;""),$AP$20,IF($AH$20=KJ$11,$AQ$20,""))))</f>
        <v/>
      </c>
      <c r="KM84" s="878" t="str">
        <f t="shared" si="271"/>
        <v/>
      </c>
      <c r="KN84" s="871" t="str">
        <f t="shared" si="272"/>
        <v/>
      </c>
      <c r="KO84" s="868" t="str">
        <f>IF($AR$20="","",IF(AND($AH$20=KM$11,$AJ$20&lt;&gt;""),$AJ$20,IF(AND($AH$20=KM$11,$AP$20&lt;&gt;""),$AP$20,IF($AH$20=KM$11,$AQ$20,""))))</f>
        <v/>
      </c>
      <c r="KP84" s="878" t="str">
        <f t="shared" si="273"/>
        <v/>
      </c>
      <c r="KQ84" s="871" t="str">
        <f t="shared" si="274"/>
        <v/>
      </c>
      <c r="KR84" s="868" t="str">
        <f>IF($AR$20="","",IF(AND($AH$20=KP$11,$AJ$20&lt;&gt;""),$AJ$20,IF(AND($AH$20=KP$11,$AP$20&lt;&gt;""),$AP$20,IF($AH$20=KP$11,$AQ$20,""))))</f>
        <v/>
      </c>
      <c r="KS84" s="878" t="str">
        <f t="shared" si="275"/>
        <v/>
      </c>
      <c r="KT84" s="871" t="str">
        <f t="shared" si="276"/>
        <v/>
      </c>
      <c r="KU84" s="868" t="str">
        <f>IF($AR$20="","",IF(AND($AH$20=KS$11,$AJ$20&lt;&gt;""),$AJ$20,IF(AND($AH$20=KS$11,$AP$20&lt;&gt;""),$AP$20,IF($AH$20=KS$11,$AQ$20,""))))</f>
        <v/>
      </c>
      <c r="KV84" s="878" t="str">
        <f t="shared" si="277"/>
        <v/>
      </c>
      <c r="KW84" s="871" t="str">
        <f t="shared" si="278"/>
        <v/>
      </c>
      <c r="KX84" s="868" t="str">
        <f>IF($AR$20="","",IF(AND($AH$20=KV$11,$AJ$20&lt;&gt;""),$AJ$20,IF(AND($AH$20=KV$11,$AP$20&lt;&gt;""),$AP$20,IF($AH$20=KV$11,$AQ$20,""))))</f>
        <v/>
      </c>
      <c r="KY84" s="878" t="str">
        <f t="shared" si="279"/>
        <v/>
      </c>
      <c r="KZ84" s="871" t="str">
        <f t="shared" si="280"/>
        <v/>
      </c>
      <c r="LA84" s="868" t="str">
        <f>IF($AR$20="","",IF(AND($AH$20=KY$11,$AJ$20&lt;&gt;""),$AJ$20,IF(AND($AH$20=KY$11,$AP$20&lt;&gt;""),$AP$20,IF($AH$20=KY$11,$AQ$20,""))))</f>
        <v/>
      </c>
      <c r="LB84" s="878" t="str">
        <f t="shared" si="281"/>
        <v/>
      </c>
      <c r="LC84" s="871" t="str">
        <f t="shared" si="282"/>
        <v/>
      </c>
      <c r="LD84" s="868" t="str">
        <f>IF($AR$20="","",IF(AND($AH$20=LB$11,$AJ$20&lt;&gt;""),$AJ$20,IF(AND($AH$20=LB$11,$AP$20&lt;&gt;""),$AP$20,IF($AH$20=LB$11,$AQ$20,""))))</f>
        <v/>
      </c>
      <c r="LE84" s="878" t="str">
        <f t="shared" si="283"/>
        <v/>
      </c>
      <c r="LF84" s="871" t="str">
        <f t="shared" si="284"/>
        <v/>
      </c>
      <c r="LG84" s="868" t="str">
        <f>IF($AR$20="","",IF(AND($AH$20=LE$11,$AJ$20&lt;&gt;""),$AJ$20,IF(AND($AH$20=LE$11,$AP$20&lt;&gt;""),$AP$20,IF($AH$20=LE$11,$AQ$20,""))))</f>
        <v/>
      </c>
      <c r="LH84"/>
      <c r="LI84"/>
      <c r="LJ84"/>
      <c r="LK84"/>
      <c r="LL84"/>
      <c r="LM84"/>
    </row>
    <row r="85" spans="4:325">
      <c r="D85" s="8"/>
      <c r="E85" s="8"/>
      <c r="F85" s="8"/>
      <c r="G85" s="8"/>
      <c r="H85" s="8"/>
      <c r="M85" s="8"/>
      <c r="N85" s="8"/>
      <c r="S85" s="8"/>
      <c r="T85" s="8"/>
      <c r="U85" s="8"/>
      <c r="V85" s="8"/>
      <c r="W85" s="8"/>
      <c r="AH85" s="8"/>
      <c r="AI85" s="8"/>
      <c r="AJ85" s="8"/>
      <c r="AK85" s="8"/>
      <c r="BJ85" s="8"/>
      <c r="BY85" s="8"/>
      <c r="BZ85" s="8"/>
      <c r="CC85" s="8"/>
      <c r="CD85" s="8"/>
      <c r="CE85" s="8"/>
      <c r="CF85" s="8"/>
      <c r="EZ85" s="1187" t="s">
        <v>190</v>
      </c>
      <c r="FA85" s="1188"/>
      <c r="FB85" s="1188"/>
      <c r="FC85" s="1188"/>
      <c r="FD85" s="1188"/>
      <c r="FE85" s="1188"/>
      <c r="FF85" s="1189"/>
      <c r="GW85" s="1144"/>
      <c r="GX85" s="230" t="str">
        <f>IF($AR$20="","",IF($JG$21=$GX$3,$JH$21,IF(AND($AL$21=$GX$3,$AP$21&lt;&gt;""),$AP$21,IF(AND($AL$21=$GX$3,$AP$21=""),$AQ$21,""))))</f>
        <v/>
      </c>
      <c r="GY85" s="301">
        <v>7</v>
      </c>
      <c r="GZ85" s="5" t="str">
        <f t="shared" si="285"/>
        <v/>
      </c>
      <c r="HA85" s="95" t="str">
        <f t="shared" si="252"/>
        <v/>
      </c>
      <c r="HB85" s="5"/>
      <c r="HC85" s="95" t="str">
        <f t="shared" si="286"/>
        <v/>
      </c>
      <c r="HG85" s="1144"/>
      <c r="HH85" s="230" t="str">
        <f>IF($AR$20="","",IF($JG$21=$HH$3,$JH$21,IF(AND($AL$21=$HH$3,$AP$21&lt;&gt;""),$AP$21,IF(AND($AL$21=$HH$3,$AP$21=""),$AQ$21,""))))</f>
        <v/>
      </c>
      <c r="HI85" s="301">
        <v>7</v>
      </c>
      <c r="HJ85" s="5" t="str">
        <f t="shared" si="287"/>
        <v/>
      </c>
      <c r="HK85" s="95" t="str">
        <f t="shared" si="253"/>
        <v/>
      </c>
      <c r="HL85" s="5"/>
      <c r="HM85" s="95" t="str">
        <f t="shared" si="254"/>
        <v/>
      </c>
      <c r="JJ85" s="1335"/>
      <c r="JK85" s="876">
        <v>7</v>
      </c>
      <c r="JL85" s="879" t="str">
        <f t="shared" si="288"/>
        <v/>
      </c>
      <c r="JM85" s="662" t="str">
        <f t="shared" si="255"/>
        <v/>
      </c>
      <c r="JN85" s="869" t="str">
        <f>IF($AR$20="","",IF(AND($AH$21=JL$11,$AJ$21&lt;&gt;""),$AJ$21,IF(AND($AH$21=JL$11,$AP$21&lt;&gt;""),$AP$21,IF($AH$21=JL$11,$AQ$21,""))))</f>
        <v/>
      </c>
      <c r="JO85" s="879" t="str">
        <f t="shared" si="289"/>
        <v/>
      </c>
      <c r="JP85" s="662" t="str">
        <f t="shared" si="256"/>
        <v/>
      </c>
      <c r="JQ85" s="869" t="str">
        <f>IF($AR$20="","",IF(AND($AH$21=JO$11,$AJ$21&lt;&gt;""),$AJ$21,IF(AND($AH$21=JO$11,$AP$21&lt;&gt;""),$AP$21,IF($AH$21=JO$11,$AQ$21,""))))</f>
        <v/>
      </c>
      <c r="JR85" s="879" t="str">
        <f t="shared" si="257"/>
        <v/>
      </c>
      <c r="JS85" s="662" t="str">
        <f t="shared" si="258"/>
        <v/>
      </c>
      <c r="JT85" s="869" t="str">
        <f>IF($AR$20="","",IF(AND($AH$21=JR$11,$AJ$21&lt;&gt;""),$AJ$21,IF(AND($AH$21=JR$11,$AP$21&lt;&gt;""),$AP$21,IF($AH$21=JR$11,$AQ$21,""))))</f>
        <v/>
      </c>
      <c r="JU85" s="879" t="str">
        <f t="shared" si="259"/>
        <v/>
      </c>
      <c r="JV85" s="662" t="str">
        <f t="shared" si="260"/>
        <v/>
      </c>
      <c r="JW85" s="869" t="str">
        <f>IF($AR$20="","",IF(AND($AH$21=JU$11,$AJ$21&lt;&gt;""),$AJ$21,IF(AND($AH$21=JU$11,$AP$21&lt;&gt;""),$AP$21,IF($AH$21=JU$11,$AQ$21,""))))</f>
        <v/>
      </c>
      <c r="JX85" s="879" t="str">
        <f t="shared" si="261"/>
        <v/>
      </c>
      <c r="JY85" s="662" t="str">
        <f t="shared" si="262"/>
        <v/>
      </c>
      <c r="JZ85" s="869" t="str">
        <f>IF($AR$20="","",IF(AND($AH$21=JX$11,$AJ$21&lt;&gt;""),$AJ$21,IF(AND($AH$21=JX$11,$AP$21&lt;&gt;""),$AP$21,IF($AH$21=JX$11,$AQ$21,""))))</f>
        <v/>
      </c>
      <c r="KA85" s="879" t="str">
        <f t="shared" si="263"/>
        <v/>
      </c>
      <c r="KB85" s="662" t="str">
        <f t="shared" si="264"/>
        <v/>
      </c>
      <c r="KC85" s="869" t="str">
        <f>IF($AR$20="","",IF(AND($AH$21=KA$11,$AJ$21&lt;&gt;""),$AJ$21,IF(AND($AH$21=KA$11,$AP$21&lt;&gt;""),$AP$21,IF($AH$21=KA$11,$AQ$21,""))))</f>
        <v/>
      </c>
      <c r="KD85" s="879" t="str">
        <f t="shared" si="265"/>
        <v/>
      </c>
      <c r="KE85" s="662" t="str">
        <f t="shared" si="266"/>
        <v/>
      </c>
      <c r="KF85" s="869" t="str">
        <f>IF($AR$20="","",IF(AND($AH$21=KD$11,$AJ$21&lt;&gt;""),$AJ$21,IF(AND($AH$21=KD$11,$AP$21&lt;&gt;""),$AP$21,IF($AH$21=KD$11,$AQ$21,""))))</f>
        <v/>
      </c>
      <c r="KG85" s="879" t="str">
        <f t="shared" si="267"/>
        <v/>
      </c>
      <c r="KH85" s="662" t="str">
        <f t="shared" si="268"/>
        <v/>
      </c>
      <c r="KI85" s="869" t="str">
        <f>IF($AR$20="","",IF(AND($AH$21=KG$11,$AJ$21&lt;&gt;""),$AJ$21,IF(AND($AH$21=KG$11,$AP$21&lt;&gt;""),$AP$21,IF($AH$21=KG$11,$AQ$21,""))))</f>
        <v/>
      </c>
      <c r="KJ85" s="879" t="str">
        <f t="shared" si="269"/>
        <v/>
      </c>
      <c r="KK85" s="662" t="str">
        <f t="shared" si="270"/>
        <v/>
      </c>
      <c r="KL85" s="869" t="str">
        <f>IF($AR$20="","",IF(AND($AH$21=KJ$11,$AJ$21&lt;&gt;""),$AJ$21,IF(AND($AH$21=KJ$11,$AP$21&lt;&gt;""),$AP$21,IF($AH$21=KJ$11,$AQ$21,""))))</f>
        <v/>
      </c>
      <c r="KM85" s="879" t="str">
        <f t="shared" si="271"/>
        <v/>
      </c>
      <c r="KN85" s="662" t="str">
        <f t="shared" si="272"/>
        <v/>
      </c>
      <c r="KO85" s="869" t="str">
        <f>IF($AR$20="","",IF(AND($AH$21=KM$11,$AJ$21&lt;&gt;""),$AJ$21,IF(AND($AH$21=KM$11,$AP$21&lt;&gt;""),$AP$21,IF($AH$21=KM$11,$AQ$21,""))))</f>
        <v/>
      </c>
      <c r="KP85" s="879" t="str">
        <f t="shared" si="273"/>
        <v/>
      </c>
      <c r="KQ85" s="662" t="str">
        <f t="shared" si="274"/>
        <v/>
      </c>
      <c r="KR85" s="869" t="str">
        <f>IF($AR$20="","",IF(AND($AH$21=KP$11,$AJ$21&lt;&gt;""),$AJ$21,IF(AND($AH$21=KP$11,$AP$21&lt;&gt;""),$AP$21,IF($AH$21=KP$11,$AQ$21,""))))</f>
        <v/>
      </c>
      <c r="KS85" s="879" t="str">
        <f t="shared" si="275"/>
        <v/>
      </c>
      <c r="KT85" s="662" t="str">
        <f t="shared" si="276"/>
        <v/>
      </c>
      <c r="KU85" s="869" t="str">
        <f>IF($AR$20="","",IF(AND($AH$21=KS$11,$AJ$21&lt;&gt;""),$AJ$21,IF(AND($AH$21=KS$11,$AP$21&lt;&gt;""),$AP$21,IF($AH$21=KS$11,$AQ$21,""))))</f>
        <v/>
      </c>
      <c r="KV85" s="879" t="str">
        <f t="shared" si="277"/>
        <v/>
      </c>
      <c r="KW85" s="662" t="str">
        <f t="shared" si="278"/>
        <v/>
      </c>
      <c r="KX85" s="869" t="str">
        <f>IF($AR$20="","",IF(AND($AH$21=KV$11,$AJ$21&lt;&gt;""),$AJ$21,IF(AND($AH$21=KV$11,$AP$21&lt;&gt;""),$AP$21,IF($AH$21=KV$11,$AQ$21,""))))</f>
        <v/>
      </c>
      <c r="KY85" s="879" t="str">
        <f t="shared" si="279"/>
        <v/>
      </c>
      <c r="KZ85" s="662" t="str">
        <f t="shared" si="280"/>
        <v/>
      </c>
      <c r="LA85" s="869" t="str">
        <f>IF($AR$20="","",IF(AND($AH$21=KY$11,$AJ$21&lt;&gt;""),$AJ$21,IF(AND($AH$21=KY$11,$AP$21&lt;&gt;""),$AP$21,IF($AH$21=KY$11,$AQ$21,""))))</f>
        <v/>
      </c>
      <c r="LB85" s="879" t="str">
        <f t="shared" si="281"/>
        <v/>
      </c>
      <c r="LC85" s="662" t="str">
        <f t="shared" si="282"/>
        <v/>
      </c>
      <c r="LD85" s="869" t="str">
        <f>IF($AR$20="","",IF(AND($AH$21=LB$11,$AJ$21&lt;&gt;""),$AJ$21,IF(AND($AH$21=LB$11,$AP$21&lt;&gt;""),$AP$21,IF($AH$21=LB$11,$AQ$21,""))))</f>
        <v/>
      </c>
      <c r="LE85" s="879" t="str">
        <f t="shared" si="283"/>
        <v/>
      </c>
      <c r="LF85" s="662" t="str">
        <f t="shared" si="284"/>
        <v/>
      </c>
      <c r="LG85" s="869" t="str">
        <f>IF($AR$20="","",IF(AND($AH$21=LE$11,$AJ$21&lt;&gt;""),$AJ$21,IF(AND($AH$21=LE$11,$AP$21&lt;&gt;""),$AP$21,IF($AH$21=LE$11,$AQ$21,""))))</f>
        <v/>
      </c>
      <c r="LH85"/>
      <c r="LI85"/>
      <c r="LJ85"/>
      <c r="LK85"/>
      <c r="LL85"/>
      <c r="LM85"/>
    </row>
    <row r="86" spans="4:325">
      <c r="D86" s="8"/>
      <c r="E86" s="8"/>
      <c r="F86" s="8"/>
      <c r="G86" s="8"/>
      <c r="H86" s="8"/>
      <c r="M86" s="8"/>
      <c r="N86" s="8"/>
      <c r="S86" s="8"/>
      <c r="T86" s="8"/>
      <c r="U86" s="8"/>
      <c r="V86" s="8"/>
      <c r="W86" s="8"/>
      <c r="AH86" s="8"/>
      <c r="AI86" s="8"/>
      <c r="AJ86" s="8"/>
      <c r="AK86" s="8"/>
      <c r="BJ86" s="8"/>
      <c r="BY86" s="8"/>
      <c r="BZ86" s="8"/>
      <c r="CC86" s="8"/>
      <c r="CD86" s="8"/>
      <c r="CE86" s="8"/>
      <c r="CF86" s="8"/>
      <c r="CG86" s="1108" t="s">
        <v>216</v>
      </c>
      <c r="CH86" s="1109"/>
      <c r="CI86" s="1110"/>
      <c r="FA86" s="497">
        <f t="shared" ref="FA86:FA103" si="290">RANK(FD86,FD$86:FD$103)</f>
        <v>9</v>
      </c>
      <c r="FB86" s="498" t="str">
        <f t="shared" ref="FB86:FB103" si="291">FB3</f>
        <v>Per-Anders Lindstrom</v>
      </c>
      <c r="FC86" s="573">
        <f t="shared" ref="FC86:FC103" si="292">DC3</f>
        <v>0</v>
      </c>
      <c r="FD86" s="600">
        <f t="shared" ref="FD86:FD103" si="293">DP3</f>
        <v>5.0999999999999999E-7</v>
      </c>
      <c r="GW86" s="1144"/>
      <c r="GX86" s="230" t="str">
        <f>IF($AR$20="","",IF($JG$22=$GX$3,$JH$22,IF(AND($AL$22=$GX$3,$AP$22&lt;&gt;""),$AP$22,IF(AND($AL$22=$GX$3,$AP$22=""),$AQ$22,""))))</f>
        <v/>
      </c>
      <c r="GY86" s="301">
        <v>6</v>
      </c>
      <c r="GZ86" s="5" t="str">
        <f t="shared" si="285"/>
        <v/>
      </c>
      <c r="HA86" s="95" t="str">
        <f t="shared" si="252"/>
        <v/>
      </c>
      <c r="HB86" s="5"/>
      <c r="HC86" s="95" t="str">
        <f t="shared" si="286"/>
        <v/>
      </c>
      <c r="HG86" s="1144"/>
      <c r="HH86" s="230" t="str">
        <f>IF($AR$20="","",IF($JG$22=$HH$3,$JH$22,IF(AND($AL$22=$HH$3,$AP$22&lt;&gt;""),$AP$22,IF(AND($AL$22=$HH$3,$AP$22=""),$AQ$22,""))))</f>
        <v/>
      </c>
      <c r="HI86" s="301">
        <v>6</v>
      </c>
      <c r="HJ86" s="5" t="str">
        <f t="shared" si="287"/>
        <v/>
      </c>
      <c r="HK86" s="95" t="str">
        <f t="shared" si="253"/>
        <v/>
      </c>
      <c r="HL86" s="5"/>
      <c r="HM86" s="95" t="str">
        <f t="shared" si="254"/>
        <v/>
      </c>
      <c r="JJ86" s="1335"/>
      <c r="JK86" s="876">
        <v>6</v>
      </c>
      <c r="JL86" s="879" t="str">
        <f t="shared" si="288"/>
        <v/>
      </c>
      <c r="JM86" s="662" t="str">
        <f t="shared" si="255"/>
        <v/>
      </c>
      <c r="JN86" s="869" t="str">
        <f>IF($AR$20="","",IF(AND($AH$22=JL$11,$AJ$22&lt;&gt;""),$AJ$22,IF(AND($AH$22=JL$11,$AP$22&lt;&gt;""),$AP$22,IF($AH$22=JL$11,$AQ$22,""))))</f>
        <v/>
      </c>
      <c r="JO86" s="879" t="str">
        <f t="shared" si="289"/>
        <v/>
      </c>
      <c r="JP86" s="662" t="str">
        <f t="shared" si="256"/>
        <v/>
      </c>
      <c r="JQ86" s="869" t="str">
        <f>IF($AR$20="","",IF(AND($AH$22=JO$11,$AJ$22&lt;&gt;""),$AJ$22,IF(AND($AH$22=JO$11,$AP$22&lt;&gt;""),$AP$22,IF($AH$22=JO$11,$AQ$22,""))))</f>
        <v/>
      </c>
      <c r="JR86" s="879" t="str">
        <f t="shared" si="257"/>
        <v/>
      </c>
      <c r="JS86" s="662" t="str">
        <f t="shared" si="258"/>
        <v/>
      </c>
      <c r="JT86" s="869" t="str">
        <f>IF($AR$20="","",IF(AND($AH$22=JR$11,$AJ$22&lt;&gt;""),$AJ$22,IF(AND($AH$22=JR$11,$AP$22&lt;&gt;""),$AP$22,IF($AH$22=JR$11,$AQ$22,""))))</f>
        <v/>
      </c>
      <c r="JU86" s="879" t="str">
        <f t="shared" si="259"/>
        <v/>
      </c>
      <c r="JV86" s="662" t="str">
        <f t="shared" si="260"/>
        <v/>
      </c>
      <c r="JW86" s="869" t="str">
        <f>IF($AR$20="","",IF(AND($AH$22=JU$11,$AJ$22&lt;&gt;""),$AJ$22,IF(AND($AH$22=JU$11,$AP$22&lt;&gt;""),$AP$22,IF($AH$22=JU$11,$AQ$22,""))))</f>
        <v/>
      </c>
      <c r="JX86" s="879" t="str">
        <f t="shared" si="261"/>
        <v/>
      </c>
      <c r="JY86" s="662" t="str">
        <f t="shared" si="262"/>
        <v/>
      </c>
      <c r="JZ86" s="869" t="str">
        <f>IF($AR$20="","",IF(AND($AH$22=JX$11,$AJ$22&lt;&gt;""),$AJ$22,IF(AND($AH$22=JX$11,$AP$22&lt;&gt;""),$AP$22,IF($AH$22=JX$11,$AQ$22,""))))</f>
        <v/>
      </c>
      <c r="KA86" s="879" t="str">
        <f t="shared" si="263"/>
        <v/>
      </c>
      <c r="KB86" s="662" t="str">
        <f t="shared" si="264"/>
        <v/>
      </c>
      <c r="KC86" s="869" t="str">
        <f>IF($AR$20="","",IF(AND($AH$22=KA$11,$AJ$22&lt;&gt;""),$AJ$22,IF(AND($AH$22=KA$11,$AP$22&lt;&gt;""),$AP$22,IF($AH$22=KA$11,$AQ$22,""))))</f>
        <v/>
      </c>
      <c r="KD86" s="879" t="str">
        <f t="shared" si="265"/>
        <v/>
      </c>
      <c r="KE86" s="662" t="str">
        <f t="shared" si="266"/>
        <v/>
      </c>
      <c r="KF86" s="869" t="str">
        <f>IF($AR$20="","",IF(AND($AH$22=KD$11,$AJ$22&lt;&gt;""),$AJ$22,IF(AND($AH$22=KD$11,$AP$22&lt;&gt;""),$AP$22,IF($AH$22=KD$11,$AQ$22,""))))</f>
        <v/>
      </c>
      <c r="KG86" s="879" t="str">
        <f t="shared" si="267"/>
        <v/>
      </c>
      <c r="KH86" s="662" t="str">
        <f t="shared" si="268"/>
        <v/>
      </c>
      <c r="KI86" s="869" t="str">
        <f>IF($AR$20="","",IF(AND($AH$22=KG$11,$AJ$22&lt;&gt;""),$AJ$22,IF(AND($AH$22=KG$11,$AP$22&lt;&gt;""),$AP$22,IF($AH$22=KG$11,$AQ$22,""))))</f>
        <v/>
      </c>
      <c r="KJ86" s="879" t="str">
        <f t="shared" si="269"/>
        <v/>
      </c>
      <c r="KK86" s="662" t="str">
        <f t="shared" si="270"/>
        <v/>
      </c>
      <c r="KL86" s="869" t="str">
        <f>IF($AR$20="","",IF(AND($AH$22=KJ$11,$AJ$22&lt;&gt;""),$AJ$22,IF(AND($AH$22=KJ$11,$AP$22&lt;&gt;""),$AP$22,IF($AH$22=KJ$11,$AQ$22,""))))</f>
        <v/>
      </c>
      <c r="KM86" s="879" t="str">
        <f t="shared" si="271"/>
        <v/>
      </c>
      <c r="KN86" s="662" t="str">
        <f t="shared" si="272"/>
        <v/>
      </c>
      <c r="KO86" s="869" t="str">
        <f>IF($AR$20="","",IF(AND($AH$22=KM$11,$AJ$22&lt;&gt;""),$AJ$22,IF(AND($AH$22=KM$11,$AP$22&lt;&gt;""),$AP$22,IF($AH$22=KM$11,$AQ$22,""))))</f>
        <v/>
      </c>
      <c r="KP86" s="879" t="str">
        <f t="shared" si="273"/>
        <v/>
      </c>
      <c r="KQ86" s="662" t="str">
        <f t="shared" si="274"/>
        <v/>
      </c>
      <c r="KR86" s="869" t="str">
        <f>IF($AR$20="","",IF(AND($AH$22=KP$11,$AJ$22&lt;&gt;""),$AJ$22,IF(AND($AH$22=KP$11,$AP$22&lt;&gt;""),$AP$22,IF($AH$22=KP$11,$AQ$22,""))))</f>
        <v/>
      </c>
      <c r="KS86" s="879" t="str">
        <f t="shared" si="275"/>
        <v/>
      </c>
      <c r="KT86" s="662" t="str">
        <f t="shared" si="276"/>
        <v/>
      </c>
      <c r="KU86" s="869" t="str">
        <f>IF($AR$20="","",IF(AND($AH$22=KS$11,$AJ$22&lt;&gt;""),$AJ$22,IF(AND($AH$22=KS$11,$AP$22&lt;&gt;""),$AP$22,IF($AH$22=KS$11,$AQ$22,""))))</f>
        <v/>
      </c>
      <c r="KV86" s="879" t="str">
        <f t="shared" si="277"/>
        <v/>
      </c>
      <c r="KW86" s="662" t="str">
        <f t="shared" si="278"/>
        <v/>
      </c>
      <c r="KX86" s="869" t="str">
        <f>IF($AR$20="","",IF(AND($AH$22=KV$11,$AJ$22&lt;&gt;""),$AJ$22,IF(AND($AH$22=KV$11,$AP$22&lt;&gt;""),$AP$22,IF($AH$22=KV$11,$AQ$22,""))))</f>
        <v/>
      </c>
      <c r="KY86" s="879" t="str">
        <f t="shared" si="279"/>
        <v/>
      </c>
      <c r="KZ86" s="662" t="str">
        <f t="shared" si="280"/>
        <v/>
      </c>
      <c r="LA86" s="869" t="str">
        <f>IF($AR$20="","",IF(AND($AH$22=KY$11,$AJ$22&lt;&gt;""),$AJ$22,IF(AND($AH$22=KY$11,$AP$22&lt;&gt;""),$AP$22,IF($AH$22=KY$11,$AQ$22,""))))</f>
        <v/>
      </c>
      <c r="LB86" s="879" t="str">
        <f t="shared" si="281"/>
        <v/>
      </c>
      <c r="LC86" s="662" t="str">
        <f t="shared" si="282"/>
        <v/>
      </c>
      <c r="LD86" s="869" t="str">
        <f>IF($AR$20="","",IF(AND($AH$22=LB$11,$AJ$22&lt;&gt;""),$AJ$22,IF(AND($AH$22=LB$11,$AP$22&lt;&gt;""),$AP$22,IF($AH$22=LB$11,$AQ$22,""))))</f>
        <v/>
      </c>
      <c r="LE86" s="879" t="str">
        <f t="shared" si="283"/>
        <v/>
      </c>
      <c r="LF86" s="662" t="str">
        <f t="shared" si="284"/>
        <v/>
      </c>
      <c r="LG86" s="869" t="str">
        <f>IF($AR$20="","",IF(AND($AH$22=LE$11,$AJ$22&lt;&gt;""),$AJ$22,IF(AND($AH$22=LE$11,$AP$22&lt;&gt;""),$AP$22,IF($AH$22=LE$11,$AQ$22,""))))</f>
        <v/>
      </c>
      <c r="LH86"/>
      <c r="LI86"/>
      <c r="LJ86"/>
      <c r="LK86"/>
      <c r="LL86"/>
      <c r="LM86"/>
    </row>
    <row r="87" spans="4:325" ht="13.5" thickBot="1">
      <c r="D87" s="8"/>
      <c r="E87" s="8"/>
      <c r="F87" s="8"/>
      <c r="G87" s="8"/>
      <c r="H87" s="8"/>
      <c r="M87" s="8"/>
      <c r="N87" s="8"/>
      <c r="S87" s="8"/>
      <c r="T87" s="8"/>
      <c r="U87" s="8"/>
      <c r="V87" s="8"/>
      <c r="W87" s="8"/>
      <c r="AH87" s="8"/>
      <c r="AI87" s="8"/>
      <c r="AJ87" s="8"/>
      <c r="AK87" s="8"/>
      <c r="BJ87" s="8"/>
      <c r="BY87" s="8"/>
      <c r="BZ87" s="8"/>
      <c r="CC87" s="8"/>
      <c r="CD87" s="8"/>
      <c r="CE87" s="8"/>
      <c r="CF87" s="8"/>
      <c r="CG87" s="13">
        <v>1</v>
      </c>
      <c r="CH87" s="13" t="str">
        <f>VLOOKUP(CG87,CU$47:CW$64,3,FALSE)</f>
        <v>Daniil Ivanov</v>
      </c>
      <c r="CI87" s="770">
        <f>VLOOKUP(CG87,CU$47:DC$64,9,FALSE)</f>
        <v>0</v>
      </c>
      <c r="FA87" s="249">
        <f t="shared" si="290"/>
        <v>3</v>
      </c>
      <c r="FB87" s="486" t="str">
        <f t="shared" si="291"/>
        <v>Dimitry Khomitsevich</v>
      </c>
      <c r="FC87" s="574">
        <f t="shared" si="292"/>
        <v>0</v>
      </c>
      <c r="FD87" s="600">
        <f t="shared" si="293"/>
        <v>5.7000000000000005E-7</v>
      </c>
      <c r="GW87" s="1145"/>
      <c r="GX87" s="231" t="str">
        <f>IF($AR$20="","",IF($JG$23=$GX$3,$JH$23,IF(AND($AL$23=$GX$3,$AP$23&lt;&gt;""),$AP$23,IF(AND($AL$23=$GX$3,$AP$23=""),$AQ$23,""))))</f>
        <v/>
      </c>
      <c r="GY87" s="302">
        <v>5</v>
      </c>
      <c r="GZ87" s="303" t="str">
        <f t="shared" si="285"/>
        <v/>
      </c>
      <c r="HA87" s="98" t="str">
        <f t="shared" si="252"/>
        <v/>
      </c>
      <c r="HB87" s="303"/>
      <c r="HC87" s="98" t="str">
        <f t="shared" si="286"/>
        <v/>
      </c>
      <c r="HG87" s="1145"/>
      <c r="HH87" s="231" t="str">
        <f>IF($AR$20="","",IF($JG$23=$HH$3,$JH$23,IF(AND($AL$23=$HH$3,$AP$23&lt;&gt;""),$AP$23,IF(AND($AL$23=$HH$3,$AP$23=""),$AQ$23,""))))</f>
        <v/>
      </c>
      <c r="HI87" s="302">
        <v>5</v>
      </c>
      <c r="HJ87" s="303" t="str">
        <f t="shared" si="287"/>
        <v/>
      </c>
      <c r="HK87" s="98" t="str">
        <f t="shared" si="253"/>
        <v/>
      </c>
      <c r="HL87" s="303"/>
      <c r="HM87" s="98" t="str">
        <f t="shared" si="254"/>
        <v/>
      </c>
      <c r="JJ87" s="1336"/>
      <c r="JK87" s="877">
        <v>5</v>
      </c>
      <c r="JL87" s="880" t="str">
        <f t="shared" si="288"/>
        <v/>
      </c>
      <c r="JM87" s="873" t="str">
        <f t="shared" si="255"/>
        <v/>
      </c>
      <c r="JN87" s="870" t="str">
        <f>IF($AR$20="","",IF(AND($AH$23=JL$11,$AJ$23&lt;&gt;""),$AJ$23,IF(AND($AH$23=JL$11,$AP$23&lt;&gt;""),$AP$23,IF($AH$23=JL$11,$AQ$23,""))))</f>
        <v/>
      </c>
      <c r="JO87" s="880" t="str">
        <f t="shared" si="289"/>
        <v/>
      </c>
      <c r="JP87" s="873" t="str">
        <f t="shared" si="256"/>
        <v/>
      </c>
      <c r="JQ87" s="870" t="str">
        <f>IF($AR$20="","",IF(AND($AH$23=JO$11,$AJ$23&lt;&gt;""),$AJ$23,IF(AND($AH$23=JO$11,$AP$23&lt;&gt;""),$AP$23,IF($AH$23=JO$11,$AQ$23,""))))</f>
        <v/>
      </c>
      <c r="JR87" s="880" t="str">
        <f t="shared" si="257"/>
        <v/>
      </c>
      <c r="JS87" s="873" t="str">
        <f t="shared" si="258"/>
        <v/>
      </c>
      <c r="JT87" s="870" t="str">
        <f>IF($AR$20="","",IF(AND($AH$23=JR$11,$AJ$23&lt;&gt;""),$AJ$23,IF(AND($AH$23=JR$11,$AP$23&lt;&gt;""),$AP$23,IF($AH$23=JR$11,$AQ$23,""))))</f>
        <v/>
      </c>
      <c r="JU87" s="880" t="str">
        <f t="shared" si="259"/>
        <v/>
      </c>
      <c r="JV87" s="873" t="str">
        <f t="shared" si="260"/>
        <v/>
      </c>
      <c r="JW87" s="870" t="str">
        <f>IF($AR$20="","",IF(AND($AH$23=JU$11,$AJ$23&lt;&gt;""),$AJ$23,IF(AND($AH$23=JU$11,$AP$23&lt;&gt;""),$AP$23,IF($AH$23=JU$11,$AQ$23,""))))</f>
        <v/>
      </c>
      <c r="JX87" s="880" t="str">
        <f t="shared" si="261"/>
        <v/>
      </c>
      <c r="JY87" s="873" t="str">
        <f t="shared" si="262"/>
        <v/>
      </c>
      <c r="JZ87" s="870" t="str">
        <f>IF($AR$20="","",IF(AND($AH$23=JX$11,$AJ$23&lt;&gt;""),$AJ$23,IF(AND($AH$23=JX$11,$AP$23&lt;&gt;""),$AP$23,IF($AH$23=JX$11,$AQ$23,""))))</f>
        <v/>
      </c>
      <c r="KA87" s="880" t="str">
        <f t="shared" si="263"/>
        <v/>
      </c>
      <c r="KB87" s="873" t="str">
        <f t="shared" si="264"/>
        <v/>
      </c>
      <c r="KC87" s="870" t="str">
        <f>IF($AR$20="","",IF(AND($AH$23=KA$11,$AJ$23&lt;&gt;""),$AJ$23,IF(AND($AH$23=KA$11,$AP$23&lt;&gt;""),$AP$23,IF($AH$23=KA$11,$AQ$23,""))))</f>
        <v/>
      </c>
      <c r="KD87" s="880" t="str">
        <f t="shared" si="265"/>
        <v/>
      </c>
      <c r="KE87" s="873" t="str">
        <f t="shared" si="266"/>
        <v/>
      </c>
      <c r="KF87" s="870" t="str">
        <f>IF($AR$20="","",IF(AND($AH$23=KD$11,$AJ$23&lt;&gt;""),$AJ$23,IF(AND($AH$23=KD$11,$AP$23&lt;&gt;""),$AP$23,IF($AH$23=KD$11,$AQ$23,""))))</f>
        <v/>
      </c>
      <c r="KG87" s="880" t="str">
        <f t="shared" si="267"/>
        <v/>
      </c>
      <c r="KH87" s="873" t="str">
        <f t="shared" si="268"/>
        <v/>
      </c>
      <c r="KI87" s="870" t="str">
        <f>IF($AR$20="","",IF(AND($AH$23=KG$11,$AJ$23&lt;&gt;""),$AJ$23,IF(AND($AH$23=KG$11,$AP$23&lt;&gt;""),$AP$23,IF($AH$23=KG$11,$AQ$23,""))))</f>
        <v/>
      </c>
      <c r="KJ87" s="880" t="str">
        <f t="shared" si="269"/>
        <v/>
      </c>
      <c r="KK87" s="873" t="str">
        <f t="shared" si="270"/>
        <v/>
      </c>
      <c r="KL87" s="870" t="str">
        <f>IF($AR$20="","",IF(AND($AH$23=KJ$11,$AJ$23&lt;&gt;""),$AJ$23,IF(AND($AH$23=KJ$11,$AP$23&lt;&gt;""),$AP$23,IF($AH$23=KJ$11,$AQ$23,""))))</f>
        <v/>
      </c>
      <c r="KM87" s="880" t="str">
        <f t="shared" si="271"/>
        <v/>
      </c>
      <c r="KN87" s="873" t="str">
        <f t="shared" si="272"/>
        <v/>
      </c>
      <c r="KO87" s="870" t="str">
        <f>IF($AR$20="","",IF(AND($AH$23=KM$11,$AJ$23&lt;&gt;""),$AJ$23,IF(AND($AH$23=KM$11,$AP$23&lt;&gt;""),$AP$23,IF($AH$23=KM$11,$AQ$23,""))))</f>
        <v/>
      </c>
      <c r="KP87" s="880" t="str">
        <f t="shared" si="273"/>
        <v/>
      </c>
      <c r="KQ87" s="873" t="str">
        <f t="shared" si="274"/>
        <v/>
      </c>
      <c r="KR87" s="870" t="str">
        <f>IF($AR$20="","",IF(AND($AH$23=KP$11,$AJ$23&lt;&gt;""),$AJ$23,IF(AND($AH$23=KP$11,$AP$23&lt;&gt;""),$AP$23,IF($AH$23=KP$11,$AQ$23,""))))</f>
        <v/>
      </c>
      <c r="KS87" s="880" t="str">
        <f t="shared" si="275"/>
        <v/>
      </c>
      <c r="KT87" s="873" t="str">
        <f t="shared" si="276"/>
        <v/>
      </c>
      <c r="KU87" s="870" t="str">
        <f>IF($AR$20="","",IF(AND($AH$23=KS$11,$AJ$23&lt;&gt;""),$AJ$23,IF(AND($AH$23=KS$11,$AP$23&lt;&gt;""),$AP$23,IF($AH$23=KS$11,$AQ$23,""))))</f>
        <v/>
      </c>
      <c r="KV87" s="880" t="str">
        <f t="shared" si="277"/>
        <v/>
      </c>
      <c r="KW87" s="873" t="str">
        <f t="shared" si="278"/>
        <v/>
      </c>
      <c r="KX87" s="870" t="str">
        <f>IF($AR$20="","",IF(AND($AH$23=KV$11,$AJ$23&lt;&gt;""),$AJ$23,IF(AND($AH$23=KV$11,$AP$23&lt;&gt;""),$AP$23,IF($AH$23=KV$11,$AQ$23,""))))</f>
        <v/>
      </c>
      <c r="KY87" s="880" t="str">
        <f t="shared" si="279"/>
        <v/>
      </c>
      <c r="KZ87" s="873" t="str">
        <f t="shared" si="280"/>
        <v/>
      </c>
      <c r="LA87" s="870" t="str">
        <f>IF($AR$20="","",IF(AND($AH$23=KY$11,$AJ$23&lt;&gt;""),$AJ$23,IF(AND($AH$23=KY$11,$AP$23&lt;&gt;""),$AP$23,IF($AH$23=KY$11,$AQ$23,""))))</f>
        <v/>
      </c>
      <c r="LB87" s="880" t="str">
        <f t="shared" si="281"/>
        <v/>
      </c>
      <c r="LC87" s="873" t="str">
        <f t="shared" si="282"/>
        <v/>
      </c>
      <c r="LD87" s="870" t="str">
        <f>IF($AR$20="","",IF(AND($AH$23=LB$11,$AJ$23&lt;&gt;""),$AJ$23,IF(AND($AH$23=LB$11,$AP$23&lt;&gt;""),$AP$23,IF($AH$23=LB$11,$AQ$23,""))))</f>
        <v/>
      </c>
      <c r="LE87" s="880" t="str">
        <f t="shared" si="283"/>
        <v/>
      </c>
      <c r="LF87" s="873" t="str">
        <f t="shared" si="284"/>
        <v/>
      </c>
      <c r="LG87" s="870" t="str">
        <f>IF($AR$20="","",IF(AND($AH$23=LE$11,$AJ$23&lt;&gt;""),$AJ$23,IF(AND($AH$23=LE$11,$AP$23&lt;&gt;""),$AP$23,IF($AH$23=LE$11,$AQ$23,""))))</f>
        <v/>
      </c>
      <c r="LH87"/>
      <c r="LI87"/>
      <c r="LJ87"/>
      <c r="LK87"/>
      <c r="LL87"/>
      <c r="LM87"/>
    </row>
    <row r="88" spans="4:325">
      <c r="D88" s="8"/>
      <c r="E88" s="8"/>
      <c r="F88" s="8"/>
      <c r="G88" s="8"/>
      <c r="H88" s="8"/>
      <c r="M88" s="8"/>
      <c r="N88" s="8"/>
      <c r="S88" s="8"/>
      <c r="T88" s="8"/>
      <c r="U88" s="8"/>
      <c r="V88" s="8"/>
      <c r="W88" s="8"/>
      <c r="AH88" s="8"/>
      <c r="AI88" s="8"/>
      <c r="AJ88" s="8"/>
      <c r="AK88" s="8"/>
      <c r="BJ88" s="8"/>
      <c r="BY88" s="8"/>
      <c r="BZ88" s="8"/>
      <c r="CC88" s="8"/>
      <c r="CD88" s="8"/>
      <c r="CE88" s="8"/>
      <c r="CF88" s="8"/>
      <c r="CG88" s="13">
        <v>2</v>
      </c>
      <c r="CH88" s="13" t="str">
        <f t="shared" ref="CH88:CH104" si="294">VLOOKUP(CG88,CU$47:CW$64,3,FALSE)</f>
        <v>Dimitry Koltakov</v>
      </c>
      <c r="CI88" s="770">
        <f t="shared" ref="CI88:CI104" si="295">VLOOKUP(CG88,CU$47:DC$64,9,FALSE)</f>
        <v>0</v>
      </c>
      <c r="FA88" s="249">
        <f t="shared" si="290"/>
        <v>10</v>
      </c>
      <c r="FB88" s="486" t="str">
        <f t="shared" si="291"/>
        <v>Franz Zorn</v>
      </c>
      <c r="FC88" s="574">
        <f t="shared" si="292"/>
        <v>0</v>
      </c>
      <c r="FD88" s="600">
        <f t="shared" si="293"/>
        <v>4.9999999999999998E-7</v>
      </c>
      <c r="GW88" s="1143">
        <v>20</v>
      </c>
      <c r="GX88" s="229" t="str">
        <f>IF($AR$24="","",IF($JG$24=$GX$3,$JH$24,IF(AND($AL$24=$GX$3,$AP$24&lt;&gt;""),$AP$24,IF(AND($AL$24=$GX$3,$AP$24=""),$AQ$24,""))))</f>
        <v/>
      </c>
      <c r="GY88" s="299">
        <v>4</v>
      </c>
      <c r="GZ88" s="300" t="str">
        <f t="shared" si="285"/>
        <v/>
      </c>
      <c r="HA88" s="93" t="str">
        <f t="shared" si="252"/>
        <v/>
      </c>
      <c r="HB88" s="300"/>
      <c r="HC88" s="93" t="str">
        <f t="shared" si="286"/>
        <v/>
      </c>
      <c r="HG88" s="1143">
        <v>20</v>
      </c>
      <c r="HH88" s="229" t="str">
        <f>IF($AR$24="","",IF($JG$24=$HH$3,$JH$24,IF(AND($AL$24=$HH$3,$AP$24&lt;&gt;""),$AP$24,IF(AND($AL$24=$HH$3,$AP$24=""),$AQ$24,""))))</f>
        <v/>
      </c>
      <c r="HI88" s="299">
        <v>4</v>
      </c>
      <c r="HJ88" s="300" t="str">
        <f t="shared" si="287"/>
        <v/>
      </c>
      <c r="HK88" s="93" t="str">
        <f t="shared" si="253"/>
        <v/>
      </c>
      <c r="HL88" s="300"/>
      <c r="HM88" s="93" t="str">
        <f t="shared" si="254"/>
        <v/>
      </c>
      <c r="JJ88" s="1334">
        <v>20</v>
      </c>
      <c r="JK88" s="875">
        <v>4</v>
      </c>
      <c r="JL88" s="878" t="str">
        <f t="shared" si="288"/>
        <v/>
      </c>
      <c r="JM88" s="871" t="str">
        <f t="shared" si="255"/>
        <v/>
      </c>
      <c r="JN88" s="868" t="str">
        <f>IF($AR$24="","",IF(AND($AH$24=JL$11,$AJ$24&lt;&gt;""),$AJ$24,IF(AND($AH$24=JL$11,$AP$24&lt;&gt;""),$AP$24,IF($AH$24=JL$11,$AQ$24,""))))</f>
        <v/>
      </c>
      <c r="JO88" s="878" t="str">
        <f t="shared" si="289"/>
        <v/>
      </c>
      <c r="JP88" s="871" t="str">
        <f t="shared" si="256"/>
        <v/>
      </c>
      <c r="JQ88" s="868" t="str">
        <f>IF($AR$24="","",IF(AND($AH$24=JO$11,$AJ$24&lt;&gt;""),$AJ$24,IF(AND($AH$24=JO$11,$AP$24&lt;&gt;""),$AP$24,IF($AH$24=JO$11,$AQ$24,""))))</f>
        <v/>
      </c>
      <c r="JR88" s="878" t="str">
        <f t="shared" si="257"/>
        <v/>
      </c>
      <c r="JS88" s="871" t="str">
        <f t="shared" si="258"/>
        <v/>
      </c>
      <c r="JT88" s="868" t="str">
        <f>IF($AR$24="","",IF(AND($AH$24=JR$11,$AJ$24&lt;&gt;""),$AJ$24,IF(AND($AH$24=JR$11,$AP$24&lt;&gt;""),$AP$24,IF($AH$24=JR$11,$AQ$24,""))))</f>
        <v/>
      </c>
      <c r="JU88" s="878" t="str">
        <f t="shared" si="259"/>
        <v/>
      </c>
      <c r="JV88" s="871" t="str">
        <f t="shared" si="260"/>
        <v/>
      </c>
      <c r="JW88" s="868" t="str">
        <f>IF($AR$24="","",IF(AND($AH$24=JU$11,$AJ$24&lt;&gt;""),$AJ$24,IF(AND($AH$24=JU$11,$AP$24&lt;&gt;""),$AP$24,IF($AH$24=JU$11,$AQ$24,""))))</f>
        <v/>
      </c>
      <c r="JX88" s="878" t="str">
        <f t="shared" si="261"/>
        <v/>
      </c>
      <c r="JY88" s="871" t="str">
        <f t="shared" si="262"/>
        <v/>
      </c>
      <c r="JZ88" s="868" t="str">
        <f>IF($AR$24="","",IF(AND($AH$24=JX$11,$AJ$24&lt;&gt;""),$AJ$24,IF(AND($AH$24=JX$11,$AP$24&lt;&gt;""),$AP$24,IF($AH$24=JX$11,$AQ$24,""))))</f>
        <v/>
      </c>
      <c r="KA88" s="878" t="str">
        <f t="shared" si="263"/>
        <v/>
      </c>
      <c r="KB88" s="871" t="str">
        <f t="shared" si="264"/>
        <v/>
      </c>
      <c r="KC88" s="868" t="str">
        <f>IF($AR$24="","",IF(AND($AH$24=KA$11,$AJ$24&lt;&gt;""),$AJ$24,IF(AND($AH$24=KA$11,$AP$24&lt;&gt;""),$AP$24,IF($AH$24=KA$11,$AQ$24,""))))</f>
        <v/>
      </c>
      <c r="KD88" s="878" t="str">
        <f t="shared" si="265"/>
        <v/>
      </c>
      <c r="KE88" s="871" t="str">
        <f t="shared" si="266"/>
        <v/>
      </c>
      <c r="KF88" s="868" t="str">
        <f>IF($AR$24="","",IF(AND($AH$24=KD$11,$AJ$24&lt;&gt;""),$AJ$24,IF(AND($AH$24=KD$11,$AP$24&lt;&gt;""),$AP$24,IF($AH$24=KD$11,$AQ$24,""))))</f>
        <v/>
      </c>
      <c r="KG88" s="878" t="str">
        <f t="shared" si="267"/>
        <v/>
      </c>
      <c r="KH88" s="871" t="str">
        <f t="shared" si="268"/>
        <v/>
      </c>
      <c r="KI88" s="868" t="str">
        <f>IF($AR$24="","",IF(AND($AH$24=KG$11,$AJ$24&lt;&gt;""),$AJ$24,IF(AND($AH$24=KG$11,$AP$24&lt;&gt;""),$AP$24,IF($AH$24=KG$11,$AQ$24,""))))</f>
        <v/>
      </c>
      <c r="KJ88" s="878" t="str">
        <f t="shared" si="269"/>
        <v/>
      </c>
      <c r="KK88" s="871" t="str">
        <f t="shared" si="270"/>
        <v/>
      </c>
      <c r="KL88" s="868" t="str">
        <f>IF($AR$24="","",IF(AND($AH$24=KJ$11,$AJ$24&lt;&gt;""),$AJ$24,IF(AND($AH$24=KJ$11,$AP$24&lt;&gt;""),$AP$24,IF($AH$24=KJ$11,$AQ$24,""))))</f>
        <v/>
      </c>
      <c r="KM88" s="878" t="str">
        <f t="shared" si="271"/>
        <v/>
      </c>
      <c r="KN88" s="871" t="str">
        <f t="shared" si="272"/>
        <v/>
      </c>
      <c r="KO88" s="868" t="str">
        <f>IF($AR$24="","",IF(AND($AH$24=KM$11,$AJ$24&lt;&gt;""),$AJ$24,IF(AND($AH$24=KM$11,$AP$24&lt;&gt;""),$AP$24,IF($AH$24=KM$11,$AQ$24,""))))</f>
        <v/>
      </c>
      <c r="KP88" s="878" t="str">
        <f t="shared" si="273"/>
        <v/>
      </c>
      <c r="KQ88" s="871" t="str">
        <f t="shared" si="274"/>
        <v/>
      </c>
      <c r="KR88" s="868" t="str">
        <f>IF($AR$24="","",IF(AND($AH$24=KP$11,$AJ$24&lt;&gt;""),$AJ$24,IF(AND($AH$24=KP$11,$AP$24&lt;&gt;""),$AP$24,IF($AH$24=KP$11,$AQ$24,""))))</f>
        <v/>
      </c>
      <c r="KS88" s="878" t="str">
        <f t="shared" si="275"/>
        <v/>
      </c>
      <c r="KT88" s="871" t="str">
        <f t="shared" si="276"/>
        <v/>
      </c>
      <c r="KU88" s="868" t="str">
        <f>IF($AR$24="","",IF(AND($AH$24=KS$11,$AJ$24&lt;&gt;""),$AJ$24,IF(AND($AH$24=KS$11,$AP$24&lt;&gt;""),$AP$24,IF($AH$24=KS$11,$AQ$24,""))))</f>
        <v/>
      </c>
      <c r="KV88" s="878" t="str">
        <f t="shared" si="277"/>
        <v/>
      </c>
      <c r="KW88" s="871" t="str">
        <f t="shared" si="278"/>
        <v/>
      </c>
      <c r="KX88" s="868" t="str">
        <f>IF($AR$24="","",IF(AND($AH$24=KV$11,$AJ$24&lt;&gt;""),$AJ$24,IF(AND($AH$24=KV$11,$AP$24&lt;&gt;""),$AP$24,IF($AH$24=KV$11,$AQ$24,""))))</f>
        <v/>
      </c>
      <c r="KY88" s="878" t="str">
        <f t="shared" si="279"/>
        <v/>
      </c>
      <c r="KZ88" s="871" t="str">
        <f t="shared" si="280"/>
        <v/>
      </c>
      <c r="LA88" s="868" t="str">
        <f>IF($AR$24="","",IF(AND($AH$24=KY$11,$AJ$24&lt;&gt;""),$AJ$24,IF(AND($AH$24=KY$11,$AP$24&lt;&gt;""),$AP$24,IF($AH$24=KY$11,$AQ$24,""))))</f>
        <v/>
      </c>
      <c r="LB88" s="878" t="str">
        <f t="shared" si="281"/>
        <v/>
      </c>
      <c r="LC88" s="871" t="str">
        <f t="shared" si="282"/>
        <v/>
      </c>
      <c r="LD88" s="868" t="str">
        <f>IF($AR$24="","",IF(AND($AH$24=LB$11,$AJ$24&lt;&gt;""),$AJ$24,IF(AND($AH$24=LB$11,$AP$24&lt;&gt;""),$AP$24,IF($AH$24=LB$11,$AQ$24,""))))</f>
        <v/>
      </c>
      <c r="LE88" s="878" t="str">
        <f t="shared" si="283"/>
        <v/>
      </c>
      <c r="LF88" s="871" t="str">
        <f t="shared" si="284"/>
        <v/>
      </c>
      <c r="LG88" s="868" t="str">
        <f>IF($AR$24="","",IF(AND($AH$24=LE$11,$AJ$24&lt;&gt;""),$AJ$24,IF(AND($AH$24=LE$11,$AP$24&lt;&gt;""),$AP$24,IF($AH$24=LE$11,$AQ$24,""))))</f>
        <v/>
      </c>
      <c r="LH88"/>
      <c r="LI88"/>
      <c r="LJ88"/>
      <c r="LK88"/>
      <c r="LL88"/>
      <c r="LM88"/>
    </row>
    <row r="89" spans="4:325">
      <c r="D89" s="8"/>
      <c r="E89" s="8"/>
      <c r="F89" s="8"/>
      <c r="G89" s="8"/>
      <c r="H89" s="8"/>
      <c r="M89" s="8"/>
      <c r="N89" s="8"/>
      <c r="S89" s="8"/>
      <c r="T89" s="8"/>
      <c r="U89" s="8"/>
      <c r="V89" s="8"/>
      <c r="W89" s="8"/>
      <c r="AH89" s="8"/>
      <c r="AI89" s="8"/>
      <c r="AJ89" s="8"/>
      <c r="AK89" s="8"/>
      <c r="BJ89" s="8"/>
      <c r="BY89" s="8"/>
      <c r="BZ89" s="8"/>
      <c r="CC89" s="8"/>
      <c r="CD89" s="8"/>
      <c r="CE89" s="8"/>
      <c r="CF89" s="8"/>
      <c r="CG89" s="13">
        <v>3</v>
      </c>
      <c r="CH89" s="13" t="str">
        <f t="shared" si="294"/>
        <v>Dimitry Khomitsevich</v>
      </c>
      <c r="CI89" s="770">
        <f t="shared" si="295"/>
        <v>0</v>
      </c>
      <c r="CR89" s="1240" t="s">
        <v>54</v>
      </c>
      <c r="CS89" s="1240"/>
      <c r="CT89" s="1240"/>
      <c r="CU89" s="1240"/>
      <c r="CV89" s="1240"/>
      <c r="CW89" s="1240"/>
      <c r="CX89" s="1240"/>
      <c r="CY89" s="1240"/>
      <c r="CZ89" s="1240"/>
      <c r="DA89" s="1240"/>
      <c r="DB89" s="1240"/>
      <c r="DC89" s="761"/>
      <c r="FA89" s="249">
        <f t="shared" si="290"/>
        <v>6</v>
      </c>
      <c r="FB89" s="486" t="str">
        <f t="shared" si="291"/>
        <v>Jan Klatovsky</v>
      </c>
      <c r="FC89" s="574">
        <f t="shared" si="292"/>
        <v>0</v>
      </c>
      <c r="FD89" s="600">
        <f t="shared" si="293"/>
        <v>5.4000000000000002E-7</v>
      </c>
      <c r="GW89" s="1144"/>
      <c r="GX89" s="230" t="str">
        <f>IF($AR$24="","",IF($JG$25=$GX$3,$JH$25,IF(AND($AL$25=$GX$3,$AP$25&lt;&gt;""),$AP$25,IF(AND($AL$25=$GX$3,$AP$25=""),$AQ$25,""))))</f>
        <v/>
      </c>
      <c r="GY89" s="301">
        <v>3</v>
      </c>
      <c r="GZ89" s="5" t="str">
        <f t="shared" si="285"/>
        <v/>
      </c>
      <c r="HA89" s="95" t="str">
        <f t="shared" si="252"/>
        <v/>
      </c>
      <c r="HB89" s="5"/>
      <c r="HC89" s="95" t="str">
        <f t="shared" si="286"/>
        <v/>
      </c>
      <c r="HG89" s="1144"/>
      <c r="HH89" s="230" t="str">
        <f>IF($AR$24="","",IF($JG$25=$HH$3,$JH$25,IF(AND($AL$25=$HH$3,$AP$25&lt;&gt;""),$AP$25,IF(AND($AL$25=$HH$3,$AP$25=""),$AQ$25,""))))</f>
        <v/>
      </c>
      <c r="HI89" s="301">
        <v>3</v>
      </c>
      <c r="HJ89" s="5" t="str">
        <f t="shared" si="287"/>
        <v/>
      </c>
      <c r="HK89" s="95" t="str">
        <f t="shared" si="253"/>
        <v/>
      </c>
      <c r="HL89" s="5"/>
      <c r="HM89" s="95" t="str">
        <f t="shared" si="254"/>
        <v/>
      </c>
      <c r="JJ89" s="1335"/>
      <c r="JK89" s="876">
        <v>3</v>
      </c>
      <c r="JL89" s="879" t="str">
        <f t="shared" si="288"/>
        <v/>
      </c>
      <c r="JM89" s="662" t="str">
        <f t="shared" si="255"/>
        <v/>
      </c>
      <c r="JN89" s="869" t="str">
        <f>IF($AR$24="","",IF(AND($AH$25=JL$11,$AJ$25&lt;&gt;""),$AJ$25,IF(AND($AH$25=JL$11,$AP$25&lt;&gt;""),$AP$25,IF($AH$25=JL$11,$AQ$25,""))))</f>
        <v/>
      </c>
      <c r="JO89" s="879" t="str">
        <f t="shared" si="289"/>
        <v/>
      </c>
      <c r="JP89" s="662" t="str">
        <f t="shared" si="256"/>
        <v/>
      </c>
      <c r="JQ89" s="869" t="str">
        <f>IF($AR$24="","",IF(AND($AH$25=JO$11,$AJ$25&lt;&gt;""),$AJ$25,IF(AND($AH$25=JO$11,$AP$25&lt;&gt;""),$AP$25,IF($AH$25=JO$11,$AQ$25,""))))</f>
        <v/>
      </c>
      <c r="JR89" s="879" t="str">
        <f t="shared" si="257"/>
        <v/>
      </c>
      <c r="JS89" s="662" t="str">
        <f t="shared" si="258"/>
        <v/>
      </c>
      <c r="JT89" s="869" t="str">
        <f>IF($AR$24="","",IF(AND($AH$25=JR$11,$AJ$25&lt;&gt;""),$AJ$25,IF(AND($AH$25=JR$11,$AP$25&lt;&gt;""),$AP$25,IF($AH$25=JR$11,$AQ$25,""))))</f>
        <v/>
      </c>
      <c r="JU89" s="879" t="str">
        <f t="shared" si="259"/>
        <v/>
      </c>
      <c r="JV89" s="662" t="str">
        <f t="shared" si="260"/>
        <v/>
      </c>
      <c r="JW89" s="869" t="str">
        <f>IF($AR$24="","",IF(AND($AH$25=JU$11,$AJ$25&lt;&gt;""),$AJ$25,IF(AND($AH$25=JU$11,$AP$25&lt;&gt;""),$AP$25,IF($AH$25=JU$11,$AQ$25,""))))</f>
        <v/>
      </c>
      <c r="JX89" s="879" t="str">
        <f t="shared" si="261"/>
        <v/>
      </c>
      <c r="JY89" s="662" t="str">
        <f t="shared" si="262"/>
        <v/>
      </c>
      <c r="JZ89" s="869" t="str">
        <f>IF($AR$24="","",IF(AND($AH$25=JX$11,$AJ$25&lt;&gt;""),$AJ$25,IF(AND($AH$25=JX$11,$AP$25&lt;&gt;""),$AP$25,IF($AH$25=JX$11,$AQ$25,""))))</f>
        <v/>
      </c>
      <c r="KA89" s="879" t="str">
        <f t="shared" si="263"/>
        <v/>
      </c>
      <c r="KB89" s="662" t="str">
        <f t="shared" si="264"/>
        <v/>
      </c>
      <c r="KC89" s="869" t="str">
        <f>IF($AR$24="","",IF(AND($AH$25=KA$11,$AJ$25&lt;&gt;""),$AJ$25,IF(AND($AH$25=KA$11,$AP$25&lt;&gt;""),$AP$25,IF($AH$25=KA$11,$AQ$25,""))))</f>
        <v/>
      </c>
      <c r="KD89" s="879" t="str">
        <f t="shared" si="265"/>
        <v/>
      </c>
      <c r="KE89" s="662" t="str">
        <f t="shared" si="266"/>
        <v/>
      </c>
      <c r="KF89" s="869" t="str">
        <f>IF($AR$24="","",IF(AND($AH$25=KD$11,$AJ$25&lt;&gt;""),$AJ$25,IF(AND($AH$25=KD$11,$AP$25&lt;&gt;""),$AP$25,IF($AH$25=KD$11,$AQ$25,""))))</f>
        <v/>
      </c>
      <c r="KG89" s="879" t="str">
        <f t="shared" si="267"/>
        <v/>
      </c>
      <c r="KH89" s="662" t="str">
        <f t="shared" si="268"/>
        <v/>
      </c>
      <c r="KI89" s="869" t="str">
        <f>IF($AR$24="","",IF(AND($AH$25=KG$11,$AJ$25&lt;&gt;""),$AJ$25,IF(AND($AH$25=KG$11,$AP$25&lt;&gt;""),$AP$25,IF($AH$25=KG$11,$AQ$25,""))))</f>
        <v/>
      </c>
      <c r="KJ89" s="879" t="str">
        <f t="shared" si="269"/>
        <v/>
      </c>
      <c r="KK89" s="662" t="str">
        <f t="shared" si="270"/>
        <v/>
      </c>
      <c r="KL89" s="869" t="str">
        <f>IF($AR$24="","",IF(AND($AH$25=KJ$11,$AJ$25&lt;&gt;""),$AJ$25,IF(AND($AH$25=KJ$11,$AP$25&lt;&gt;""),$AP$25,IF($AH$25=KJ$11,$AQ$25,""))))</f>
        <v/>
      </c>
      <c r="KM89" s="879" t="str">
        <f t="shared" si="271"/>
        <v/>
      </c>
      <c r="KN89" s="662" t="str">
        <f t="shared" si="272"/>
        <v/>
      </c>
      <c r="KO89" s="869" t="str">
        <f>IF($AR$24="","",IF(AND($AH$25=KM$11,$AJ$25&lt;&gt;""),$AJ$25,IF(AND($AH$25=KM$11,$AP$25&lt;&gt;""),$AP$25,IF($AH$25=KM$11,$AQ$25,""))))</f>
        <v/>
      </c>
      <c r="KP89" s="879" t="str">
        <f t="shared" si="273"/>
        <v/>
      </c>
      <c r="KQ89" s="662" t="str">
        <f t="shared" si="274"/>
        <v/>
      </c>
      <c r="KR89" s="869" t="str">
        <f>IF($AR$24="","",IF(AND($AH$25=KP$11,$AJ$25&lt;&gt;""),$AJ$25,IF(AND($AH$25=KP$11,$AP$25&lt;&gt;""),$AP$25,IF($AH$25=KP$11,$AQ$25,""))))</f>
        <v/>
      </c>
      <c r="KS89" s="879" t="str">
        <f t="shared" si="275"/>
        <v/>
      </c>
      <c r="KT89" s="662" t="str">
        <f t="shared" si="276"/>
        <v/>
      </c>
      <c r="KU89" s="869" t="str">
        <f>IF($AR$24="","",IF(AND($AH$25=KS$11,$AJ$25&lt;&gt;""),$AJ$25,IF(AND($AH$25=KS$11,$AP$25&lt;&gt;""),$AP$25,IF($AH$25=KS$11,$AQ$25,""))))</f>
        <v/>
      </c>
      <c r="KV89" s="879" t="str">
        <f t="shared" si="277"/>
        <v/>
      </c>
      <c r="KW89" s="662" t="str">
        <f t="shared" si="278"/>
        <v/>
      </c>
      <c r="KX89" s="869" t="str">
        <f>IF($AR$24="","",IF(AND($AH$25=KV$11,$AJ$25&lt;&gt;""),$AJ$25,IF(AND($AH$25=KV$11,$AP$25&lt;&gt;""),$AP$25,IF($AH$25=KV$11,$AQ$25,""))))</f>
        <v/>
      </c>
      <c r="KY89" s="879" t="str">
        <f t="shared" si="279"/>
        <v/>
      </c>
      <c r="KZ89" s="662" t="str">
        <f t="shared" si="280"/>
        <v/>
      </c>
      <c r="LA89" s="869" t="str">
        <f>IF($AR$24="","",IF(AND($AH$25=KY$11,$AJ$25&lt;&gt;""),$AJ$25,IF(AND($AH$25=KY$11,$AP$25&lt;&gt;""),$AP$25,IF($AH$25=KY$11,$AQ$25,""))))</f>
        <v/>
      </c>
      <c r="LB89" s="879" t="str">
        <f t="shared" si="281"/>
        <v/>
      </c>
      <c r="LC89" s="662" t="str">
        <f t="shared" si="282"/>
        <v/>
      </c>
      <c r="LD89" s="869" t="str">
        <f>IF($AR$24="","",IF(AND($AH$25=LB$11,$AJ$25&lt;&gt;""),$AJ$25,IF(AND($AH$25=LB$11,$AP$25&lt;&gt;""),$AP$25,IF($AH$25=LB$11,$AQ$25,""))))</f>
        <v/>
      </c>
      <c r="LE89" s="879" t="str">
        <f t="shared" si="283"/>
        <v/>
      </c>
      <c r="LF89" s="662" t="str">
        <f t="shared" si="284"/>
        <v/>
      </c>
      <c r="LG89" s="869" t="str">
        <f>IF($AR$24="","",IF(AND($AH$25=LE$11,$AJ$25&lt;&gt;""),$AJ$25,IF(AND($AH$25=LE$11,$AP$25&lt;&gt;""),$AP$25,IF($AH$25=LE$11,$AQ$25,""))))</f>
        <v/>
      </c>
      <c r="LH89"/>
      <c r="LI89"/>
      <c r="LJ89"/>
      <c r="LK89"/>
      <c r="LL89"/>
      <c r="LM89"/>
    </row>
    <row r="90" spans="4:325">
      <c r="D90" s="8"/>
      <c r="E90" s="8"/>
      <c r="F90" s="8"/>
      <c r="G90" s="8"/>
      <c r="H90" s="8"/>
      <c r="M90" s="8"/>
      <c r="N90" s="8"/>
      <c r="S90" s="8"/>
      <c r="T90" s="8"/>
      <c r="U90" s="8"/>
      <c r="V90" s="8"/>
      <c r="W90" s="8"/>
      <c r="AH90" s="8"/>
      <c r="AI90" s="8"/>
      <c r="AJ90" s="8"/>
      <c r="AK90" s="8"/>
      <c r="BJ90" s="8"/>
      <c r="BY90" s="8"/>
      <c r="BZ90" s="8"/>
      <c r="CC90" s="8"/>
      <c r="CD90" s="8"/>
      <c r="CE90" s="8"/>
      <c r="CF90" s="8"/>
      <c r="CG90" s="13">
        <v>4</v>
      </c>
      <c r="CH90" s="13" t="str">
        <f t="shared" si="294"/>
        <v>Igor Kononov</v>
      </c>
      <c r="CI90" s="770">
        <f t="shared" si="295"/>
        <v>0</v>
      </c>
      <c r="CR90" s="1240"/>
      <c r="CS90" s="1240"/>
      <c r="CT90" s="1240"/>
      <c r="CU90" s="1240"/>
      <c r="CV90" s="1240"/>
      <c r="CW90" s="1240"/>
      <c r="CX90" s="1240"/>
      <c r="CY90" s="1240"/>
      <c r="CZ90" s="1240"/>
      <c r="DA90" s="1240"/>
      <c r="DB90" s="1240"/>
      <c r="DC90" s="761"/>
      <c r="FA90" s="249">
        <f t="shared" si="290"/>
        <v>13</v>
      </c>
      <c r="FB90" s="486" t="str">
        <f t="shared" si="291"/>
        <v>Antonin Klatovsky</v>
      </c>
      <c r="FC90" s="574">
        <f t="shared" si="292"/>
        <v>0</v>
      </c>
      <c r="FD90" s="600">
        <f t="shared" si="293"/>
        <v>4.5999999999999999E-7</v>
      </c>
      <c r="GW90" s="1144"/>
      <c r="GX90" s="230" t="str">
        <f>IF($AR$24="","",IF($JG$26=$GX$3,$JH$26,IF(AND($AL$26=$GX$3,$AP$26&lt;&gt;""),$AP$26,IF(AND($AL$26=$GX$3,$AP$26=""),$AQ$26,""))))</f>
        <v/>
      </c>
      <c r="GY90" s="301">
        <v>2</v>
      </c>
      <c r="GZ90" s="5" t="str">
        <f t="shared" si="285"/>
        <v/>
      </c>
      <c r="HA90" s="95" t="str">
        <f t="shared" si="252"/>
        <v/>
      </c>
      <c r="HB90" s="5"/>
      <c r="HC90" s="95" t="str">
        <f t="shared" si="286"/>
        <v/>
      </c>
      <c r="HG90" s="1144"/>
      <c r="HH90" s="230" t="str">
        <f>IF($AR$24="","",IF($JG$26=$HH$3,$JH$26,IF(AND($AL$26=$HH$3,$AP$26&lt;&gt;""),$AP$26,IF(AND($AL$26=$HH$3,$AP$26=""),$AQ$26,""))))</f>
        <v/>
      </c>
      <c r="HI90" s="301">
        <v>2</v>
      </c>
      <c r="HJ90" s="5" t="str">
        <f t="shared" si="287"/>
        <v/>
      </c>
      <c r="HK90" s="95" t="str">
        <f t="shared" si="253"/>
        <v/>
      </c>
      <c r="HL90" s="5"/>
      <c r="HM90" s="95" t="str">
        <f t="shared" si="254"/>
        <v/>
      </c>
      <c r="JJ90" s="1335"/>
      <c r="JK90" s="876">
        <v>2</v>
      </c>
      <c r="JL90" s="879" t="str">
        <f t="shared" si="288"/>
        <v/>
      </c>
      <c r="JM90" s="662" t="str">
        <f t="shared" si="255"/>
        <v/>
      </c>
      <c r="JN90" s="869" t="str">
        <f>IF($AR$24="","",IF(AND($AH$26=JL$11,$AJ$26&lt;&gt;""),$AJ$26,IF(AND($AH$26=JL$11,$AP$26&lt;&gt;""),$AP$26,IF($AH$26=JL$11,$AQ$26,""))))</f>
        <v/>
      </c>
      <c r="JO90" s="879" t="str">
        <f t="shared" si="289"/>
        <v/>
      </c>
      <c r="JP90" s="662" t="str">
        <f t="shared" si="256"/>
        <v/>
      </c>
      <c r="JQ90" s="869" t="str">
        <f>IF($AR$24="","",IF(AND($AH$26=JO$11,$AJ$26&lt;&gt;""),$AJ$26,IF(AND($AH$26=JO$11,$AP$26&lt;&gt;""),$AP$26,IF($AH$26=JO$11,$AQ$26,""))))</f>
        <v/>
      </c>
      <c r="JR90" s="879" t="str">
        <f t="shared" si="257"/>
        <v/>
      </c>
      <c r="JS90" s="662" t="str">
        <f t="shared" si="258"/>
        <v/>
      </c>
      <c r="JT90" s="869" t="str">
        <f>IF($AR$24="","",IF(AND($AH$26=JR$11,$AJ$26&lt;&gt;""),$AJ$26,IF(AND($AH$26=JR$11,$AP$26&lt;&gt;""),$AP$26,IF($AH$26=JR$11,$AQ$26,""))))</f>
        <v/>
      </c>
      <c r="JU90" s="879" t="str">
        <f t="shared" si="259"/>
        <v/>
      </c>
      <c r="JV90" s="662" t="str">
        <f t="shared" si="260"/>
        <v/>
      </c>
      <c r="JW90" s="869" t="str">
        <f>IF($AR$24="","",IF(AND($AH$26=JU$11,$AJ$26&lt;&gt;""),$AJ$26,IF(AND($AH$26=JU$11,$AP$26&lt;&gt;""),$AP$26,IF($AH$26=JU$11,$AQ$26,""))))</f>
        <v/>
      </c>
      <c r="JX90" s="879" t="str">
        <f t="shared" si="261"/>
        <v/>
      </c>
      <c r="JY90" s="662" t="str">
        <f t="shared" si="262"/>
        <v/>
      </c>
      <c r="JZ90" s="869" t="str">
        <f>IF($AR$24="","",IF(AND($AH$26=JX$11,$AJ$26&lt;&gt;""),$AJ$26,IF(AND($AH$26=JX$11,$AP$26&lt;&gt;""),$AP$26,IF($AH$26=JX$11,$AQ$26,""))))</f>
        <v/>
      </c>
      <c r="KA90" s="879" t="str">
        <f t="shared" si="263"/>
        <v/>
      </c>
      <c r="KB90" s="662" t="str">
        <f t="shared" si="264"/>
        <v/>
      </c>
      <c r="KC90" s="869" t="str">
        <f>IF($AR$24="","",IF(AND($AH$26=KA$11,$AJ$26&lt;&gt;""),$AJ$26,IF(AND($AH$26=KA$11,$AP$26&lt;&gt;""),$AP$26,IF($AH$26=KA$11,$AQ$26,""))))</f>
        <v/>
      </c>
      <c r="KD90" s="879" t="str">
        <f t="shared" si="265"/>
        <v/>
      </c>
      <c r="KE90" s="662" t="str">
        <f t="shared" si="266"/>
        <v/>
      </c>
      <c r="KF90" s="869" t="str">
        <f>IF($AR$24="","",IF(AND($AH$26=KD$11,$AJ$26&lt;&gt;""),$AJ$26,IF(AND($AH$26=KD$11,$AP$26&lt;&gt;""),$AP$26,IF($AH$26=KD$11,$AQ$26,""))))</f>
        <v/>
      </c>
      <c r="KG90" s="879" t="str">
        <f t="shared" si="267"/>
        <v/>
      </c>
      <c r="KH90" s="662" t="str">
        <f t="shared" si="268"/>
        <v/>
      </c>
      <c r="KI90" s="869" t="str">
        <f>IF($AR$24="","",IF(AND($AH$26=KG$11,$AJ$26&lt;&gt;""),$AJ$26,IF(AND($AH$26=KG$11,$AP$26&lt;&gt;""),$AP$26,IF($AH$26=KG$11,$AQ$26,""))))</f>
        <v/>
      </c>
      <c r="KJ90" s="879" t="str">
        <f t="shared" si="269"/>
        <v/>
      </c>
      <c r="KK90" s="662" t="str">
        <f t="shared" si="270"/>
        <v/>
      </c>
      <c r="KL90" s="869" t="str">
        <f>IF($AR$24="","",IF(AND($AH$26=KJ$11,$AJ$26&lt;&gt;""),$AJ$26,IF(AND($AH$26=KJ$11,$AP$26&lt;&gt;""),$AP$26,IF($AH$26=KJ$11,$AQ$26,""))))</f>
        <v/>
      </c>
      <c r="KM90" s="879" t="str">
        <f t="shared" si="271"/>
        <v/>
      </c>
      <c r="KN90" s="662" t="str">
        <f t="shared" si="272"/>
        <v/>
      </c>
      <c r="KO90" s="869" t="str">
        <f>IF($AR$24="","",IF(AND($AH$26=KM$11,$AJ$26&lt;&gt;""),$AJ$26,IF(AND($AH$26=KM$11,$AP$26&lt;&gt;""),$AP$26,IF($AH$26=KM$11,$AQ$26,""))))</f>
        <v/>
      </c>
      <c r="KP90" s="879" t="str">
        <f t="shared" si="273"/>
        <v/>
      </c>
      <c r="KQ90" s="662" t="str">
        <f t="shared" si="274"/>
        <v/>
      </c>
      <c r="KR90" s="869" t="str">
        <f>IF($AR$24="","",IF(AND($AH$26=KP$11,$AJ$26&lt;&gt;""),$AJ$26,IF(AND($AH$26=KP$11,$AP$26&lt;&gt;""),$AP$26,IF($AH$26=KP$11,$AQ$26,""))))</f>
        <v/>
      </c>
      <c r="KS90" s="879" t="str">
        <f t="shared" si="275"/>
        <v/>
      </c>
      <c r="KT90" s="662" t="str">
        <f t="shared" si="276"/>
        <v/>
      </c>
      <c r="KU90" s="869" t="str">
        <f>IF($AR$24="","",IF(AND($AH$26=KS$11,$AJ$26&lt;&gt;""),$AJ$26,IF(AND($AH$26=KS$11,$AP$26&lt;&gt;""),$AP$26,IF($AH$26=KS$11,$AQ$26,""))))</f>
        <v/>
      </c>
      <c r="KV90" s="879" t="str">
        <f t="shared" si="277"/>
        <v/>
      </c>
      <c r="KW90" s="662" t="str">
        <f t="shared" si="278"/>
        <v/>
      </c>
      <c r="KX90" s="869" t="str">
        <f>IF($AR$24="","",IF(AND($AH$26=KV$11,$AJ$26&lt;&gt;""),$AJ$26,IF(AND($AH$26=KV$11,$AP$26&lt;&gt;""),$AP$26,IF($AH$26=KV$11,$AQ$26,""))))</f>
        <v/>
      </c>
      <c r="KY90" s="879" t="str">
        <f t="shared" si="279"/>
        <v/>
      </c>
      <c r="KZ90" s="662" t="str">
        <f t="shared" si="280"/>
        <v/>
      </c>
      <c r="LA90" s="869" t="str">
        <f>IF($AR$24="","",IF(AND($AH$26=KY$11,$AJ$26&lt;&gt;""),$AJ$26,IF(AND($AH$26=KY$11,$AP$26&lt;&gt;""),$AP$26,IF($AH$26=KY$11,$AQ$26,""))))</f>
        <v/>
      </c>
      <c r="LB90" s="879" t="str">
        <f t="shared" si="281"/>
        <v/>
      </c>
      <c r="LC90" s="662" t="str">
        <f t="shared" si="282"/>
        <v/>
      </c>
      <c r="LD90" s="869" t="str">
        <f>IF($AR$24="","",IF(AND($AH$26=LB$11,$AJ$26&lt;&gt;""),$AJ$26,IF(AND($AH$26=LB$11,$AP$26&lt;&gt;""),$AP$26,IF($AH$26=LB$11,$AQ$26,""))))</f>
        <v/>
      </c>
      <c r="LE90" s="879" t="str">
        <f t="shared" si="283"/>
        <v/>
      </c>
      <c r="LF90" s="662" t="str">
        <f t="shared" si="284"/>
        <v/>
      </c>
      <c r="LG90" s="869" t="str">
        <f>IF($AR$24="","",IF(AND($AH$26=LE$11,$AJ$26&lt;&gt;""),$AJ$26,IF(AND($AH$26=LE$11,$AP$26&lt;&gt;""),$AP$26,IF($AH$26=LE$11,$AQ$26,""))))</f>
        <v/>
      </c>
      <c r="LH90"/>
      <c r="LI90"/>
      <c r="LJ90"/>
      <c r="LK90"/>
      <c r="LL90"/>
      <c r="LM90"/>
    </row>
    <row r="91" spans="4:325" ht="13.5" thickBot="1">
      <c r="D91" s="8"/>
      <c r="E91" s="8"/>
      <c r="F91" s="8"/>
      <c r="G91" s="8"/>
      <c r="H91" s="8"/>
      <c r="M91" s="8"/>
      <c r="N91" s="8"/>
      <c r="S91" s="8"/>
      <c r="T91" s="8"/>
      <c r="U91" s="8"/>
      <c r="V91" s="8"/>
      <c r="W91" s="8"/>
      <c r="AH91" s="8"/>
      <c r="AI91" s="8"/>
      <c r="AJ91" s="8"/>
      <c r="AK91" s="8"/>
      <c r="BJ91" s="8"/>
      <c r="BY91" s="8"/>
      <c r="BZ91" s="8"/>
      <c r="CC91" s="8"/>
      <c r="CD91" s="8"/>
      <c r="CE91" s="8"/>
      <c r="CF91" s="8"/>
      <c r="CG91" s="13">
        <v>5</v>
      </c>
      <c r="CH91" s="13" t="str">
        <f t="shared" si="294"/>
        <v>Stefan Svensson</v>
      </c>
      <c r="CI91" s="770">
        <f t="shared" si="295"/>
        <v>0</v>
      </c>
      <c r="CR91" s="1240"/>
      <c r="CS91" s="1240"/>
      <c r="CT91" s="1240"/>
      <c r="CU91" s="1240"/>
      <c r="CV91" s="1240"/>
      <c r="CW91" s="1240"/>
      <c r="CX91" s="1240"/>
      <c r="CY91" s="1240"/>
      <c r="CZ91" s="1240"/>
      <c r="DA91" s="1240"/>
      <c r="DB91" s="1240"/>
      <c r="DC91" s="761"/>
      <c r="FA91" s="249">
        <f t="shared" si="290"/>
        <v>15</v>
      </c>
      <c r="FB91" s="486" t="str">
        <f t="shared" si="291"/>
        <v>Rene Stellingwerf</v>
      </c>
      <c r="FC91" s="574">
        <f t="shared" si="292"/>
        <v>0</v>
      </c>
      <c r="FD91" s="600">
        <f t="shared" si="293"/>
        <v>4.4000000000000002E-7</v>
      </c>
      <c r="GW91" s="1145"/>
      <c r="GX91" s="231" t="str">
        <f>IF($AR$24="","",IF($JG$27=$GX$3,$JH$27,IF(AND($AL$27=$GX$3,$AP$27&lt;&gt;""),$AP$27,IF(AND($AL$27=$GX$3,$AP$27=""),$AQ$27,""))))</f>
        <v/>
      </c>
      <c r="GY91" s="302">
        <v>1</v>
      </c>
      <c r="GZ91" s="303" t="str">
        <f t="shared" si="285"/>
        <v/>
      </c>
      <c r="HA91" s="98" t="str">
        <f t="shared" si="252"/>
        <v/>
      </c>
      <c r="HB91" s="303"/>
      <c r="HC91" s="98" t="str">
        <f t="shared" si="286"/>
        <v/>
      </c>
      <c r="HG91" s="1145"/>
      <c r="HH91" s="231" t="str">
        <f>IF($AR$24="","",IF($JG$27=$HH$3,$JH$27,IF(AND($AL$27=$HH$3,$AP$27&lt;&gt;""),$AP$27,IF(AND($AL$27=$HH$3,$AP$27=""),$AQ$27,""))))</f>
        <v/>
      </c>
      <c r="HI91" s="302">
        <v>1</v>
      </c>
      <c r="HJ91" s="303" t="str">
        <f t="shared" si="287"/>
        <v/>
      </c>
      <c r="HK91" s="98" t="str">
        <f t="shared" si="253"/>
        <v/>
      </c>
      <c r="HL91" s="303"/>
      <c r="HM91" s="98" t="str">
        <f t="shared" si="254"/>
        <v/>
      </c>
      <c r="JJ91" s="1336"/>
      <c r="JK91" s="877">
        <v>1</v>
      </c>
      <c r="JL91" s="880" t="str">
        <f t="shared" si="288"/>
        <v/>
      </c>
      <c r="JM91" s="873" t="str">
        <f t="shared" si="255"/>
        <v/>
      </c>
      <c r="JN91" s="870" t="str">
        <f>IF($AR$24="","",IF(AND($AH$27=JL$11,$AJ$27&lt;&gt;""),$AJ$27,IF(AND($AH$27=JL$11,$AP$27&lt;&gt;""),$AP$27,IF($AH$27=JL$11,$AQ$27,""))))</f>
        <v/>
      </c>
      <c r="JO91" s="880" t="str">
        <f t="shared" si="289"/>
        <v/>
      </c>
      <c r="JP91" s="873" t="str">
        <f t="shared" si="256"/>
        <v/>
      </c>
      <c r="JQ91" s="870" t="str">
        <f>IF($AR$24="","",IF(AND($AH$27=JO$11,$AJ$27&lt;&gt;""),$AJ$27,IF(AND($AH$27=JO$11,$AP$27&lt;&gt;""),$AP$27,IF($AH$27=JO$11,$AQ$27,""))))</f>
        <v/>
      </c>
      <c r="JR91" s="880" t="str">
        <f t="shared" si="257"/>
        <v/>
      </c>
      <c r="JS91" s="873" t="str">
        <f t="shared" si="258"/>
        <v/>
      </c>
      <c r="JT91" s="870" t="str">
        <f>IF($AR$24="","",IF(AND($AH$27=JR$11,$AJ$27&lt;&gt;""),$AJ$27,IF(AND($AH$27=JR$11,$AP$27&lt;&gt;""),$AP$27,IF($AH$27=JR$11,$AQ$27,""))))</f>
        <v/>
      </c>
      <c r="JU91" s="880" t="str">
        <f t="shared" si="259"/>
        <v/>
      </c>
      <c r="JV91" s="873" t="str">
        <f t="shared" si="260"/>
        <v/>
      </c>
      <c r="JW91" s="870" t="str">
        <f>IF($AR$24="","",IF(AND($AH$27=JU$11,$AJ$27&lt;&gt;""),$AJ$27,IF(AND($AH$27=JU$11,$AP$27&lt;&gt;""),$AP$27,IF($AH$27=JU$11,$AQ$27,""))))</f>
        <v/>
      </c>
      <c r="JX91" s="880" t="str">
        <f t="shared" si="261"/>
        <v/>
      </c>
      <c r="JY91" s="873" t="str">
        <f t="shared" si="262"/>
        <v/>
      </c>
      <c r="JZ91" s="870" t="str">
        <f>IF($AR$24="","",IF(AND($AH$27=JX$11,$AJ$27&lt;&gt;""),$AJ$27,IF(AND($AH$27=JX$11,$AP$27&lt;&gt;""),$AP$27,IF($AH$27=JX$11,$AQ$27,""))))</f>
        <v/>
      </c>
      <c r="KA91" s="880" t="str">
        <f t="shared" si="263"/>
        <v/>
      </c>
      <c r="KB91" s="873" t="str">
        <f t="shared" si="264"/>
        <v/>
      </c>
      <c r="KC91" s="870" t="str">
        <f>IF($AR$24="","",IF(AND($AH$27=KA$11,$AJ$27&lt;&gt;""),$AJ$27,IF(AND($AH$27=KA$11,$AP$27&lt;&gt;""),$AP$27,IF($AH$27=KA$11,$AQ$27,""))))</f>
        <v/>
      </c>
      <c r="KD91" s="880" t="str">
        <f t="shared" si="265"/>
        <v/>
      </c>
      <c r="KE91" s="873" t="str">
        <f t="shared" si="266"/>
        <v/>
      </c>
      <c r="KF91" s="870" t="str">
        <f>IF($AR$24="","",IF(AND($AH$27=KD$11,$AJ$27&lt;&gt;""),$AJ$27,IF(AND($AH$27=KD$11,$AP$27&lt;&gt;""),$AP$27,IF($AH$27=KD$11,$AQ$27,""))))</f>
        <v/>
      </c>
      <c r="KG91" s="880" t="str">
        <f t="shared" si="267"/>
        <v/>
      </c>
      <c r="KH91" s="873" t="str">
        <f t="shared" si="268"/>
        <v/>
      </c>
      <c r="KI91" s="870" t="str">
        <f>IF($AR$24="","",IF(AND($AH$27=KG$11,$AJ$27&lt;&gt;""),$AJ$27,IF(AND($AH$27=KG$11,$AP$27&lt;&gt;""),$AP$27,IF($AH$27=KG$11,$AQ$27,""))))</f>
        <v/>
      </c>
      <c r="KJ91" s="880" t="str">
        <f t="shared" si="269"/>
        <v/>
      </c>
      <c r="KK91" s="873" t="str">
        <f t="shared" si="270"/>
        <v/>
      </c>
      <c r="KL91" s="870" t="str">
        <f>IF($AR$24="","",IF(AND($AH$27=KJ$11,$AJ$27&lt;&gt;""),$AJ$27,IF(AND($AH$27=KJ$11,$AP$27&lt;&gt;""),$AP$27,IF($AH$27=KJ$11,$AQ$27,""))))</f>
        <v/>
      </c>
      <c r="KM91" s="880" t="str">
        <f t="shared" si="271"/>
        <v/>
      </c>
      <c r="KN91" s="873" t="str">
        <f t="shared" si="272"/>
        <v/>
      </c>
      <c r="KO91" s="870" t="str">
        <f>IF($AR$24="","",IF(AND($AH$27=KM$11,$AJ$27&lt;&gt;""),$AJ$27,IF(AND($AH$27=KM$11,$AP$27&lt;&gt;""),$AP$27,IF($AH$27=KM$11,$AQ$27,""))))</f>
        <v/>
      </c>
      <c r="KP91" s="880" t="str">
        <f t="shared" si="273"/>
        <v/>
      </c>
      <c r="KQ91" s="873" t="str">
        <f t="shared" si="274"/>
        <v/>
      </c>
      <c r="KR91" s="870" t="str">
        <f>IF($AR$24="","",IF(AND($AH$27=KP$11,$AJ$27&lt;&gt;""),$AJ$27,IF(AND($AH$27=KP$11,$AP$27&lt;&gt;""),$AP$27,IF($AH$27=KP$11,$AQ$27,""))))</f>
        <v/>
      </c>
      <c r="KS91" s="880" t="str">
        <f t="shared" si="275"/>
        <v/>
      </c>
      <c r="KT91" s="873" t="str">
        <f t="shared" si="276"/>
        <v/>
      </c>
      <c r="KU91" s="870" t="str">
        <f>IF($AR$24="","",IF(AND($AH$27=KS$11,$AJ$27&lt;&gt;""),$AJ$27,IF(AND($AH$27=KS$11,$AP$27&lt;&gt;""),$AP$27,IF($AH$27=KS$11,$AQ$27,""))))</f>
        <v/>
      </c>
      <c r="KV91" s="880" t="str">
        <f t="shared" si="277"/>
        <v/>
      </c>
      <c r="KW91" s="873" t="str">
        <f t="shared" si="278"/>
        <v/>
      </c>
      <c r="KX91" s="870" t="str">
        <f>IF($AR$24="","",IF(AND($AH$27=KV$11,$AJ$27&lt;&gt;""),$AJ$27,IF(AND($AH$27=KV$11,$AP$27&lt;&gt;""),$AP$27,IF($AH$27=KV$11,$AQ$27,""))))</f>
        <v/>
      </c>
      <c r="KY91" s="880" t="str">
        <f t="shared" si="279"/>
        <v/>
      </c>
      <c r="KZ91" s="873" t="str">
        <f t="shared" si="280"/>
        <v/>
      </c>
      <c r="LA91" s="870" t="str">
        <f>IF($AR$24="","",IF(AND($AH$27=KY$11,$AJ$27&lt;&gt;""),$AJ$27,IF(AND($AH$27=KY$11,$AP$27&lt;&gt;""),$AP$27,IF($AH$27=KY$11,$AQ$27,""))))</f>
        <v/>
      </c>
      <c r="LB91" s="880" t="str">
        <f t="shared" si="281"/>
        <v/>
      </c>
      <c r="LC91" s="873" t="str">
        <f t="shared" si="282"/>
        <v/>
      </c>
      <c r="LD91" s="870" t="str">
        <f>IF($AR$24="","",IF(AND($AH$27=LB$11,$AJ$27&lt;&gt;""),$AJ$27,IF(AND($AH$27=LB$11,$AP$27&lt;&gt;""),$AP$27,IF($AH$27=LB$11,$AQ$27,""))))</f>
        <v/>
      </c>
      <c r="LE91" s="880" t="str">
        <f t="shared" si="283"/>
        <v/>
      </c>
      <c r="LF91" s="873" t="str">
        <f t="shared" si="284"/>
        <v/>
      </c>
      <c r="LG91" s="870" t="str">
        <f>IF($AR$24="","",IF(AND($AH$27=LE$11,$AJ$27&lt;&gt;""),$AJ$27,IF(AND($AH$27=LE$11,$AP$27&lt;&gt;""),$AP$27,IF($AH$27=LE$11,$AQ$27,""))))</f>
        <v/>
      </c>
      <c r="LH91"/>
      <c r="LI91"/>
      <c r="LJ91"/>
      <c r="LK91"/>
      <c r="LL91"/>
      <c r="LM91"/>
    </row>
    <row r="92" spans="4:325" ht="13.5" thickBot="1">
      <c r="D92" s="8"/>
      <c r="E92" s="8"/>
      <c r="F92" s="8"/>
      <c r="G92" s="8"/>
      <c r="H92" s="8"/>
      <c r="M92" s="8"/>
      <c r="N92" s="8"/>
      <c r="S92" s="8"/>
      <c r="T92" s="8"/>
      <c r="U92" s="8"/>
      <c r="V92" s="8"/>
      <c r="W92" s="8"/>
      <c r="AH92" s="8"/>
      <c r="AI92" s="8"/>
      <c r="AJ92" s="8"/>
      <c r="AK92" s="8"/>
      <c r="BJ92" s="8"/>
      <c r="BY92" s="8"/>
      <c r="BZ92" s="8"/>
      <c r="CC92" s="8"/>
      <c r="CD92" s="8"/>
      <c r="CE92" s="8"/>
      <c r="CF92" s="8"/>
      <c r="CG92" s="13">
        <v>6</v>
      </c>
      <c r="CH92" s="13" t="str">
        <f t="shared" si="294"/>
        <v>Jan Klatovsky</v>
      </c>
      <c r="CI92" s="770">
        <f t="shared" si="295"/>
        <v>0</v>
      </c>
      <c r="CR92" s="761"/>
      <c r="CS92" s="263"/>
      <c r="CT92" s="761"/>
      <c r="CU92" s="761"/>
      <c r="CV92" s="761"/>
      <c r="CW92" s="761"/>
      <c r="CX92" s="761"/>
      <c r="CY92" s="761"/>
      <c r="CZ92" s="761"/>
      <c r="DA92" s="761"/>
      <c r="DB92" s="761"/>
      <c r="DC92" s="761"/>
      <c r="FA92" s="249">
        <f t="shared" si="290"/>
        <v>4</v>
      </c>
      <c r="FB92" s="486" t="str">
        <f t="shared" si="291"/>
        <v>Igor Kononov</v>
      </c>
      <c r="FC92" s="574">
        <f t="shared" si="292"/>
        <v>0</v>
      </c>
      <c r="FD92" s="600">
        <f t="shared" si="293"/>
        <v>5.6000000000000004E-7</v>
      </c>
    </row>
    <row r="93" spans="4:325" ht="13.5" thickBot="1">
      <c r="D93" s="8"/>
      <c r="E93" s="8"/>
      <c r="F93" s="8"/>
      <c r="G93" s="8"/>
      <c r="H93" s="8"/>
      <c r="M93" s="8"/>
      <c r="N93" s="8"/>
      <c r="S93" s="8"/>
      <c r="T93" s="8"/>
      <c r="U93" s="8"/>
      <c r="V93" s="8"/>
      <c r="W93" s="8"/>
      <c r="AH93" s="8"/>
      <c r="AI93" s="8"/>
      <c r="AJ93" s="8"/>
      <c r="AK93" s="8"/>
      <c r="BJ93" s="8"/>
      <c r="BY93" s="8"/>
      <c r="BZ93" s="8"/>
      <c r="CC93" s="8"/>
      <c r="CD93" s="8"/>
      <c r="CE93" s="8"/>
      <c r="CF93" s="8"/>
      <c r="CG93" s="13">
        <v>7</v>
      </c>
      <c r="CH93" s="13" t="str">
        <f t="shared" si="294"/>
        <v>Gunter Bauer</v>
      </c>
      <c r="CI93" s="770">
        <f t="shared" si="295"/>
        <v>0</v>
      </c>
      <c r="CR93" s="761"/>
      <c r="CS93" s="1251" t="s">
        <v>45</v>
      </c>
      <c r="CT93" s="1262" t="s">
        <v>44</v>
      </c>
      <c r="CU93" s="1263"/>
      <c r="CV93" s="1263"/>
      <c r="CW93" s="1263"/>
      <c r="CX93" s="1263"/>
      <c r="CY93" s="1263"/>
      <c r="CZ93" s="1263"/>
      <c r="DA93" s="1263"/>
      <c r="DB93" s="1263"/>
      <c r="DC93" s="1263"/>
      <c r="DD93" s="1264"/>
      <c r="FA93" s="249">
        <f t="shared" si="290"/>
        <v>7</v>
      </c>
      <c r="FB93" s="486" t="str">
        <f t="shared" si="291"/>
        <v>Gunter Bauer</v>
      </c>
      <c r="FC93" s="574">
        <f t="shared" si="292"/>
        <v>0</v>
      </c>
      <c r="FD93" s="600">
        <f t="shared" si="293"/>
        <v>5.3000000000000001E-7</v>
      </c>
    </row>
    <row r="94" spans="4:325">
      <c r="D94" s="8"/>
      <c r="E94" s="8"/>
      <c r="F94" s="8"/>
      <c r="G94" s="8"/>
      <c r="H94" s="8"/>
      <c r="M94" s="8"/>
      <c r="N94" s="8"/>
      <c r="S94" s="8"/>
      <c r="T94" s="8"/>
      <c r="U94" s="8"/>
      <c r="V94" s="8"/>
      <c r="W94" s="8"/>
      <c r="AH94" s="8"/>
      <c r="AI94" s="8"/>
      <c r="AJ94" s="8"/>
      <c r="AK94" s="8"/>
      <c r="BJ94" s="8"/>
      <c r="BY94" s="8"/>
      <c r="BZ94" s="8"/>
      <c r="CC94" s="8"/>
      <c r="CD94" s="8"/>
      <c r="CE94" s="8"/>
      <c r="CF94" s="8"/>
      <c r="CG94" s="13">
        <v>8</v>
      </c>
      <c r="CH94" s="13" t="str">
        <f t="shared" si="294"/>
        <v>Stefan Pletschacher</v>
      </c>
      <c r="CI94" s="770">
        <f t="shared" si="295"/>
        <v>0</v>
      </c>
      <c r="CS94" s="1252"/>
      <c r="CT94" s="1181" t="s">
        <v>42</v>
      </c>
      <c r="CU94" s="1182"/>
      <c r="CV94" s="1182"/>
      <c r="CW94" s="1182"/>
      <c r="CX94" s="1182"/>
      <c r="CY94" s="1182"/>
      <c r="CZ94" s="1182"/>
      <c r="DA94" s="1182"/>
      <c r="DB94" s="1182"/>
      <c r="DC94" s="1182"/>
      <c r="DD94" s="1183"/>
      <c r="FA94" s="249">
        <f t="shared" si="290"/>
        <v>1</v>
      </c>
      <c r="FB94" s="486" t="str">
        <f t="shared" si="291"/>
        <v>Daniil Ivanov</v>
      </c>
      <c r="FC94" s="574">
        <f t="shared" si="292"/>
        <v>0</v>
      </c>
      <c r="FD94" s="600">
        <f t="shared" si="293"/>
        <v>5.8999999999999996E-7</v>
      </c>
    </row>
    <row r="95" spans="4:325" ht="13.5" thickBot="1">
      <c r="D95" s="8"/>
      <c r="E95" s="8"/>
      <c r="F95" s="8"/>
      <c r="G95" s="8"/>
      <c r="H95" s="8"/>
      <c r="M95" s="8"/>
      <c r="N95" s="8"/>
      <c r="S95" s="8"/>
      <c r="T95" s="8"/>
      <c r="U95" s="8"/>
      <c r="V95" s="8"/>
      <c r="W95" s="8"/>
      <c r="AH95" s="8"/>
      <c r="AI95" s="8"/>
      <c r="AJ95" s="8"/>
      <c r="AK95" s="8"/>
      <c r="BJ95" s="8"/>
      <c r="BY95" s="8"/>
      <c r="BZ95" s="8"/>
      <c r="CC95" s="8"/>
      <c r="CD95" s="8"/>
      <c r="CE95" s="8"/>
      <c r="CF95" s="8"/>
      <c r="CG95" s="13">
        <v>9</v>
      </c>
      <c r="CH95" s="13" t="str">
        <f t="shared" si="294"/>
        <v>Per-Anders Lindstrom</v>
      </c>
      <c r="CI95" s="770">
        <f t="shared" si="295"/>
        <v>0</v>
      </c>
      <c r="CS95" s="1253"/>
      <c r="CT95" s="1260" t="s">
        <v>49</v>
      </c>
      <c r="CU95" s="1228"/>
      <c r="CV95" s="1228"/>
      <c r="CW95" s="1228"/>
      <c r="CX95" s="1228"/>
      <c r="CY95" s="1228"/>
      <c r="CZ95" s="1228"/>
      <c r="DA95" s="1228"/>
      <c r="DB95" s="1228"/>
      <c r="DC95" s="1228"/>
      <c r="DD95" s="1261"/>
      <c r="FA95" s="249">
        <f t="shared" si="290"/>
        <v>12</v>
      </c>
      <c r="FB95" s="486" t="str">
        <f t="shared" si="291"/>
        <v>Hans Weber</v>
      </c>
      <c r="FC95" s="574">
        <f t="shared" si="292"/>
        <v>0</v>
      </c>
      <c r="FD95" s="600">
        <f t="shared" si="293"/>
        <v>4.7999999999999996E-7</v>
      </c>
    </row>
    <row r="96" spans="4:325" ht="13.5" thickBot="1">
      <c r="D96" s="8"/>
      <c r="E96" s="8"/>
      <c r="F96" s="8"/>
      <c r="G96" s="8"/>
      <c r="H96" s="8"/>
      <c r="M96" s="8"/>
      <c r="N96" s="8"/>
      <c r="S96" s="8"/>
      <c r="T96" s="8"/>
      <c r="U96" s="8"/>
      <c r="V96" s="8"/>
      <c r="W96" s="8"/>
      <c r="AH96" s="8"/>
      <c r="AI96" s="8"/>
      <c r="AJ96" s="8"/>
      <c r="AK96" s="8"/>
      <c r="BJ96" s="8"/>
      <c r="BY96" s="8"/>
      <c r="BZ96" s="8"/>
      <c r="CC96" s="8"/>
      <c r="CD96" s="8"/>
      <c r="CE96" s="8"/>
      <c r="CF96" s="8"/>
      <c r="CG96" s="13">
        <v>10</v>
      </c>
      <c r="CH96" s="13" t="str">
        <f t="shared" si="294"/>
        <v>Franz Zorn</v>
      </c>
      <c r="CI96" s="770">
        <f t="shared" si="295"/>
        <v>0</v>
      </c>
      <c r="FA96" s="249">
        <f t="shared" si="290"/>
        <v>14</v>
      </c>
      <c r="FB96" s="499" t="str">
        <f t="shared" si="291"/>
        <v>Harald Simon</v>
      </c>
      <c r="FC96" s="574">
        <f t="shared" si="292"/>
        <v>0</v>
      </c>
      <c r="FD96" s="600">
        <f t="shared" si="293"/>
        <v>4.4999999999999998E-7</v>
      </c>
    </row>
    <row r="97" spans="4:216">
      <c r="D97" s="8"/>
      <c r="E97" s="8"/>
      <c r="F97" s="8"/>
      <c r="G97" s="8"/>
      <c r="H97" s="8"/>
      <c r="M97" s="8"/>
      <c r="N97" s="8"/>
      <c r="S97" s="8"/>
      <c r="T97" s="8"/>
      <c r="U97" s="8"/>
      <c r="V97" s="8"/>
      <c r="W97" s="8"/>
      <c r="AH97" s="8"/>
      <c r="AI97" s="8"/>
      <c r="AJ97" s="8"/>
      <c r="AK97" s="8"/>
      <c r="BJ97" s="8"/>
      <c r="BY97" s="8"/>
      <c r="BZ97" s="8"/>
      <c r="CC97" s="8"/>
      <c r="CD97" s="8"/>
      <c r="CE97" s="8"/>
      <c r="CF97" s="8"/>
      <c r="CG97" s="13">
        <v>11</v>
      </c>
      <c r="CH97" s="13" t="str">
        <f t="shared" si="294"/>
        <v>Vitaly Khomitsevich</v>
      </c>
      <c r="CI97" s="770">
        <f t="shared" si="295"/>
        <v>0</v>
      </c>
      <c r="CS97" s="1249" t="s">
        <v>46</v>
      </c>
      <c r="CT97" s="1181" t="s">
        <v>43</v>
      </c>
      <c r="CU97" s="1182"/>
      <c r="CV97" s="1182"/>
      <c r="CW97" s="1182"/>
      <c r="CX97" s="1182"/>
      <c r="CY97" s="1182"/>
      <c r="CZ97" s="1182"/>
      <c r="DA97" s="1182"/>
      <c r="DB97" s="1182"/>
      <c r="DC97" s="1182"/>
      <c r="DD97" s="1183"/>
      <c r="FA97" s="249">
        <f t="shared" si="290"/>
        <v>11</v>
      </c>
      <c r="FB97" s="486" t="str">
        <f t="shared" si="291"/>
        <v>Vitaly Khomitsevich</v>
      </c>
      <c r="FC97" s="574">
        <f t="shared" si="292"/>
        <v>0</v>
      </c>
      <c r="FD97" s="600">
        <f t="shared" si="293"/>
        <v>4.8999999999999997E-7</v>
      </c>
      <c r="FE97" s="8"/>
      <c r="FF97" s="8"/>
      <c r="FG97" s="8"/>
      <c r="FH97" s="8"/>
      <c r="FI97" s="8"/>
      <c r="FJ97" s="8"/>
      <c r="FK97" s="8"/>
      <c r="FL97" s="8"/>
      <c r="FM97" s="8"/>
      <c r="FN97" s="8"/>
      <c r="FO97" s="8"/>
      <c r="FP97" s="8"/>
      <c r="FQ97" s="8"/>
      <c r="FR97" s="8"/>
      <c r="FS97" s="8"/>
      <c r="FT97" s="8"/>
      <c r="FU97" s="8"/>
      <c r="FV97" s="8"/>
      <c r="FW97" s="8"/>
      <c r="FX97" s="8"/>
      <c r="FY97" s="8"/>
      <c r="FZ97" s="8"/>
      <c r="GA97" s="8"/>
      <c r="GB97" s="8"/>
      <c r="GC97" s="8"/>
      <c r="GD97" s="8"/>
      <c r="GE97" s="8"/>
      <c r="GF97" s="8"/>
      <c r="GG97" s="8"/>
      <c r="GH97" s="8"/>
      <c r="GI97" s="8"/>
      <c r="GU97" s="8"/>
      <c r="GV97" s="8"/>
      <c r="GW97" s="8"/>
      <c r="GX97" s="8"/>
      <c r="GY97" s="8"/>
      <c r="GZ97" s="8"/>
      <c r="HA97" s="8"/>
      <c r="HB97" s="8"/>
      <c r="HC97" s="8"/>
      <c r="HD97" s="8"/>
      <c r="HE97" s="8"/>
      <c r="HF97" s="8"/>
      <c r="HG97" s="8"/>
      <c r="HH97" s="8"/>
    </row>
    <row r="98" spans="4:216" ht="13.5" thickBot="1">
      <c r="D98" s="8"/>
      <c r="E98" s="8"/>
      <c r="F98" s="8"/>
      <c r="G98" s="8"/>
      <c r="H98" s="8"/>
      <c r="M98" s="8"/>
      <c r="N98" s="8"/>
      <c r="S98" s="8"/>
      <c r="T98" s="8"/>
      <c r="U98" s="8"/>
      <c r="V98" s="8"/>
      <c r="W98" s="8"/>
      <c r="AH98" s="8"/>
      <c r="AI98" s="8"/>
      <c r="AJ98" s="8"/>
      <c r="AK98" s="8"/>
      <c r="BJ98" s="8"/>
      <c r="BY98" s="8"/>
      <c r="BZ98" s="8"/>
      <c r="CC98" s="8"/>
      <c r="CD98" s="8"/>
      <c r="CE98" s="8"/>
      <c r="CF98" s="8"/>
      <c r="CG98" s="13">
        <v>12</v>
      </c>
      <c r="CH98" s="13" t="str">
        <f t="shared" si="294"/>
        <v>Hans Weber</v>
      </c>
      <c r="CI98" s="770">
        <f t="shared" si="295"/>
        <v>0</v>
      </c>
      <c r="CS98" s="1250"/>
      <c r="CT98" s="1260" t="s">
        <v>48</v>
      </c>
      <c r="CU98" s="1228"/>
      <c r="CV98" s="1228"/>
      <c r="CW98" s="1228"/>
      <c r="CX98" s="1228"/>
      <c r="CY98" s="1228"/>
      <c r="CZ98" s="1228"/>
      <c r="DA98" s="1228"/>
      <c r="DB98" s="1228"/>
      <c r="DC98" s="1228"/>
      <c r="DD98" s="1261"/>
      <c r="FA98" s="249">
        <f t="shared" si="290"/>
        <v>18</v>
      </c>
      <c r="FB98" s="486" t="str">
        <f t="shared" si="291"/>
        <v>Daniel Henderson</v>
      </c>
      <c r="FC98" s="574">
        <f t="shared" si="292"/>
        <v>0</v>
      </c>
      <c r="FD98" s="600">
        <f t="shared" si="293"/>
        <v>4.0999999999999999E-7</v>
      </c>
      <c r="FE98" s="8"/>
      <c r="FF98" s="8"/>
      <c r="FG98" s="8"/>
      <c r="FH98" s="8"/>
      <c r="FI98" s="8"/>
      <c r="FJ98" s="8"/>
      <c r="FK98" s="8"/>
      <c r="FL98" s="8"/>
      <c r="FM98" s="8"/>
      <c r="FN98" s="8"/>
      <c r="FO98" s="8"/>
      <c r="FP98" s="8"/>
      <c r="FQ98" s="8"/>
      <c r="FR98" s="8"/>
      <c r="FS98" s="8"/>
      <c r="FT98" s="8"/>
      <c r="FU98" s="8"/>
      <c r="FV98" s="8"/>
      <c r="FW98" s="8"/>
      <c r="FX98" s="8"/>
      <c r="FY98" s="8"/>
      <c r="FZ98" s="8"/>
      <c r="GA98" s="8"/>
      <c r="GB98" s="8"/>
      <c r="GC98" s="8"/>
      <c r="GD98" s="8"/>
      <c r="GE98" s="8"/>
      <c r="GF98" s="8"/>
      <c r="GG98" s="8"/>
      <c r="GH98" s="8"/>
      <c r="GI98" s="8"/>
      <c r="GU98" s="8"/>
      <c r="GV98" s="8"/>
      <c r="GW98" s="8"/>
      <c r="GX98" s="8"/>
      <c r="GY98" s="8"/>
      <c r="GZ98" s="8"/>
      <c r="HA98" s="8"/>
      <c r="HB98" s="8"/>
      <c r="HC98" s="8"/>
      <c r="HD98" s="8"/>
      <c r="HE98" s="8"/>
      <c r="HF98" s="8"/>
      <c r="HG98" s="8"/>
      <c r="HH98" s="8"/>
    </row>
    <row r="99" spans="4:216" ht="13.5" thickBot="1">
      <c r="D99" s="8"/>
      <c r="E99" s="8"/>
      <c r="F99" s="8"/>
      <c r="G99" s="8"/>
      <c r="H99" s="8"/>
      <c r="M99" s="8"/>
      <c r="N99" s="8"/>
      <c r="S99" s="8"/>
      <c r="T99" s="8"/>
      <c r="U99" s="8"/>
      <c r="V99" s="8"/>
      <c r="W99" s="8"/>
      <c r="AH99" s="8"/>
      <c r="AI99" s="8"/>
      <c r="AJ99" s="8"/>
      <c r="AK99" s="8"/>
      <c r="BJ99" s="8"/>
      <c r="BY99" s="8"/>
      <c r="BZ99" s="8"/>
      <c r="CC99" s="8"/>
      <c r="CD99" s="8"/>
      <c r="CE99" s="8"/>
      <c r="CF99" s="8"/>
      <c r="CG99" s="13">
        <v>13</v>
      </c>
      <c r="CH99" s="13" t="str">
        <f t="shared" si="294"/>
        <v>Antonin Klatovsky</v>
      </c>
      <c r="CI99" s="770">
        <f t="shared" si="295"/>
        <v>0</v>
      </c>
      <c r="FA99" s="249">
        <f t="shared" si="290"/>
        <v>8</v>
      </c>
      <c r="FB99" s="486" t="str">
        <f t="shared" si="291"/>
        <v>Stefan Pletschacher</v>
      </c>
      <c r="FC99" s="574">
        <f t="shared" si="292"/>
        <v>0</v>
      </c>
      <c r="FD99" s="600">
        <f t="shared" si="293"/>
        <v>5.2E-7</v>
      </c>
      <c r="FE99" s="8"/>
      <c r="FF99" s="8"/>
      <c r="FG99" s="8"/>
      <c r="FH99" s="8"/>
      <c r="FI99" s="8"/>
      <c r="FJ99" s="8"/>
      <c r="FK99" s="8"/>
      <c r="FL99" s="8"/>
      <c r="FM99" s="8"/>
      <c r="FN99" s="8"/>
      <c r="FO99" s="8"/>
      <c r="FP99" s="8"/>
      <c r="FQ99" s="8"/>
      <c r="FR99" s="8"/>
      <c r="FS99" s="8"/>
      <c r="FT99" s="8"/>
      <c r="FU99" s="8"/>
      <c r="FV99" s="8"/>
      <c r="FW99" s="8"/>
      <c r="FX99" s="8"/>
      <c r="FY99" s="8"/>
      <c r="FZ99" s="8"/>
      <c r="GA99" s="8"/>
      <c r="GB99" s="8"/>
      <c r="GC99" s="8"/>
      <c r="GD99" s="8"/>
      <c r="GE99" s="8"/>
      <c r="GF99" s="8"/>
      <c r="GG99" s="8"/>
      <c r="GH99" s="8"/>
      <c r="GI99" s="8"/>
      <c r="GU99" s="8"/>
      <c r="GV99" s="8"/>
      <c r="GW99" s="8"/>
      <c r="GX99" s="8"/>
      <c r="GY99" s="8"/>
      <c r="GZ99" s="8"/>
      <c r="HA99" s="8"/>
      <c r="HB99" s="8"/>
      <c r="HC99" s="8"/>
      <c r="HD99" s="8"/>
      <c r="HE99" s="8"/>
      <c r="HF99" s="8"/>
      <c r="HG99" s="8"/>
      <c r="HH99" s="8"/>
    </row>
    <row r="100" spans="4:216">
      <c r="D100" s="8"/>
      <c r="E100" s="8"/>
      <c r="F100" s="8"/>
      <c r="G100" s="8"/>
      <c r="H100" s="8"/>
      <c r="M100" s="8"/>
      <c r="N100" s="8"/>
      <c r="S100" s="8"/>
      <c r="T100" s="8"/>
      <c r="U100" s="8"/>
      <c r="V100" s="8"/>
      <c r="W100" s="8"/>
      <c r="AH100" s="8"/>
      <c r="AI100" s="8"/>
      <c r="AJ100" s="8"/>
      <c r="AK100" s="8"/>
      <c r="BJ100" s="8"/>
      <c r="BY100" s="8"/>
      <c r="BZ100" s="8"/>
      <c r="CC100" s="8"/>
      <c r="CD100" s="8"/>
      <c r="CE100" s="8"/>
      <c r="CF100" s="8"/>
      <c r="CG100" s="13">
        <v>14</v>
      </c>
      <c r="CH100" s="13" t="str">
        <f t="shared" si="294"/>
        <v>Harald Simon</v>
      </c>
      <c r="CI100" s="770">
        <f t="shared" si="295"/>
        <v>0</v>
      </c>
      <c r="CS100" s="1249" t="s">
        <v>53</v>
      </c>
      <c r="CT100" s="1181" t="s">
        <v>51</v>
      </c>
      <c r="CU100" s="1182"/>
      <c r="CV100" s="1182"/>
      <c r="CW100" s="1182"/>
      <c r="CX100" s="1182"/>
      <c r="CY100" s="1182"/>
      <c r="CZ100" s="1182"/>
      <c r="DA100" s="1182"/>
      <c r="DB100" s="1182"/>
      <c r="DC100" s="1182"/>
      <c r="DD100" s="1183"/>
      <c r="FA100" s="249">
        <f t="shared" si="290"/>
        <v>2</v>
      </c>
      <c r="FB100" s="486" t="str">
        <f t="shared" si="291"/>
        <v>Dimitry Koltakov</v>
      </c>
      <c r="FC100" s="574">
        <f t="shared" si="292"/>
        <v>0</v>
      </c>
      <c r="FD100" s="600">
        <f t="shared" si="293"/>
        <v>5.7999999999999995E-7</v>
      </c>
      <c r="FE100" s="8"/>
      <c r="FF100" s="8"/>
      <c r="FG100" s="8"/>
      <c r="FH100" s="8"/>
      <c r="FI100" s="8"/>
      <c r="FJ100" s="8"/>
      <c r="FK100" s="8"/>
      <c r="FL100" s="8"/>
      <c r="FM100" s="8"/>
      <c r="FN100" s="8"/>
      <c r="FO100" s="8"/>
      <c r="FP100" s="8"/>
      <c r="FQ100" s="8"/>
      <c r="FR100" s="8"/>
      <c r="FS100" s="8"/>
      <c r="FT100" s="8"/>
      <c r="FU100" s="8"/>
      <c r="FV100" s="8"/>
      <c r="FW100" s="8"/>
      <c r="FX100" s="8"/>
      <c r="FY100" s="8"/>
      <c r="FZ100" s="8"/>
      <c r="GA100" s="8"/>
      <c r="GB100" s="8"/>
      <c r="GC100" s="8"/>
      <c r="GD100" s="8"/>
      <c r="GE100" s="8"/>
      <c r="GF100" s="8"/>
      <c r="GG100" s="8"/>
      <c r="GH100" s="8"/>
      <c r="GI100" s="8"/>
      <c r="GU100" s="8"/>
      <c r="GV100" s="8"/>
      <c r="GW100" s="8"/>
      <c r="GX100" s="8"/>
      <c r="GY100" s="8"/>
      <c r="GZ100" s="8"/>
      <c r="HA100" s="8"/>
      <c r="HB100" s="8"/>
      <c r="HC100" s="8"/>
      <c r="HD100" s="8"/>
      <c r="HE100" s="8"/>
      <c r="HF100" s="8"/>
      <c r="HG100" s="8"/>
      <c r="HH100" s="8"/>
    </row>
    <row r="101" spans="4:216" ht="13.5" thickBot="1">
      <c r="D101" s="8"/>
      <c r="E101" s="8"/>
      <c r="F101" s="8"/>
      <c r="G101" s="8"/>
      <c r="H101" s="8"/>
      <c r="M101" s="8"/>
      <c r="N101" s="8"/>
      <c r="S101" s="8"/>
      <c r="T101" s="8"/>
      <c r="U101" s="8"/>
      <c r="V101" s="8"/>
      <c r="W101" s="8"/>
      <c r="AH101" s="8"/>
      <c r="AI101" s="8"/>
      <c r="AJ101" s="8"/>
      <c r="AK101" s="8"/>
      <c r="BJ101" s="8"/>
      <c r="BY101" s="8"/>
      <c r="BZ101" s="8"/>
      <c r="CC101" s="8"/>
      <c r="CD101" s="8"/>
      <c r="CE101" s="8"/>
      <c r="CF101" s="8"/>
      <c r="CG101" s="13">
        <v>15</v>
      </c>
      <c r="CH101" s="13" t="str">
        <f t="shared" si="294"/>
        <v>Rene Stellingwerf</v>
      </c>
      <c r="CI101" s="770">
        <f t="shared" si="295"/>
        <v>0</v>
      </c>
      <c r="CS101" s="1250"/>
      <c r="CT101" s="1260" t="s">
        <v>52</v>
      </c>
      <c r="CU101" s="1228"/>
      <c r="CV101" s="1228"/>
      <c r="CW101" s="1228"/>
      <c r="CX101" s="1228"/>
      <c r="CY101" s="1228"/>
      <c r="CZ101" s="1228"/>
      <c r="DA101" s="1228"/>
      <c r="DB101" s="1228"/>
      <c r="DC101" s="1228"/>
      <c r="DD101" s="1261"/>
      <c r="FA101" s="249">
        <f t="shared" si="290"/>
        <v>5</v>
      </c>
      <c r="FB101" s="486" t="str">
        <f t="shared" si="291"/>
        <v>Stefan Svensson</v>
      </c>
      <c r="FC101" s="574">
        <f t="shared" si="292"/>
        <v>0</v>
      </c>
      <c r="FD101" s="600">
        <f t="shared" si="293"/>
        <v>5.5000000000000003E-7</v>
      </c>
      <c r="FE101" s="8"/>
      <c r="FF101" s="8"/>
      <c r="FG101" s="8"/>
      <c r="FH101" s="8"/>
      <c r="FI101" s="8"/>
      <c r="FJ101" s="8"/>
      <c r="FK101" s="8"/>
      <c r="FL101" s="8"/>
      <c r="FM101" s="8"/>
      <c r="FN101" s="8"/>
      <c r="FO101" s="8"/>
      <c r="FP101" s="8"/>
      <c r="FQ101" s="8"/>
      <c r="FR101" s="8"/>
      <c r="FS101" s="8"/>
      <c r="FT101" s="8"/>
      <c r="FU101" s="8"/>
      <c r="FV101" s="8"/>
      <c r="FW101" s="8"/>
      <c r="FX101" s="8"/>
      <c r="FY101" s="8"/>
      <c r="FZ101" s="8"/>
      <c r="GA101" s="8"/>
      <c r="GB101" s="8"/>
      <c r="GC101" s="8"/>
      <c r="GD101" s="8"/>
      <c r="GE101" s="8"/>
      <c r="GF101" s="8"/>
      <c r="GG101" s="8"/>
      <c r="GH101" s="8"/>
      <c r="GI101" s="8"/>
      <c r="GU101" s="8"/>
      <c r="GV101" s="8"/>
      <c r="GW101" s="8"/>
      <c r="GX101" s="8"/>
      <c r="GY101" s="8"/>
      <c r="GZ101" s="8"/>
      <c r="HA101" s="8"/>
      <c r="HB101" s="8"/>
      <c r="HC101" s="8"/>
      <c r="HD101" s="8"/>
      <c r="HE101" s="8"/>
      <c r="HF101" s="8"/>
      <c r="HG101" s="8"/>
      <c r="HH101" s="8"/>
    </row>
    <row r="102" spans="4:216" ht="13.5" thickBot="1">
      <c r="D102" s="8"/>
      <c r="E102" s="8"/>
      <c r="F102" s="8"/>
      <c r="G102" s="8"/>
      <c r="H102" s="8"/>
      <c r="M102" s="8"/>
      <c r="N102" s="8"/>
      <c r="S102" s="8"/>
      <c r="T102" s="8"/>
      <c r="U102" s="8"/>
      <c r="V102" s="8"/>
      <c r="W102" s="8"/>
      <c r="AH102" s="8"/>
      <c r="AI102" s="8"/>
      <c r="AJ102" s="8"/>
      <c r="AK102" s="8"/>
      <c r="BJ102" s="8"/>
      <c r="BY102" s="8"/>
      <c r="BZ102" s="8"/>
      <c r="CC102" s="8"/>
      <c r="CD102" s="8"/>
      <c r="CE102" s="8"/>
      <c r="CF102" s="8"/>
      <c r="CG102" s="13">
        <v>16</v>
      </c>
      <c r="CH102" s="13" t="str">
        <f t="shared" si="294"/>
        <v>Simon Reitsma</v>
      </c>
      <c r="CI102" s="770">
        <f t="shared" si="295"/>
        <v>0</v>
      </c>
      <c r="FA102" s="249">
        <f t="shared" si="290"/>
        <v>16</v>
      </c>
      <c r="FB102" s="486" t="str">
        <f t="shared" si="291"/>
        <v>Simon Reitsma</v>
      </c>
      <c r="FC102" s="574">
        <f t="shared" si="292"/>
        <v>0</v>
      </c>
      <c r="FD102" s="600">
        <f t="shared" si="293"/>
        <v>4.3000000000000001E-7</v>
      </c>
      <c r="FE102" s="8"/>
      <c r="FF102" s="8"/>
      <c r="FG102" s="8"/>
      <c r="FH102" s="8"/>
      <c r="FI102" s="8"/>
      <c r="FJ102" s="8"/>
      <c r="FK102" s="8"/>
      <c r="FL102" s="8"/>
      <c r="FM102" s="8"/>
      <c r="FN102" s="8"/>
      <c r="FO102" s="8"/>
      <c r="FP102" s="8"/>
      <c r="FQ102" s="8"/>
      <c r="FR102" s="8"/>
      <c r="FS102" s="8"/>
      <c r="FT102" s="8"/>
      <c r="FU102" s="8"/>
      <c r="FV102" s="8"/>
      <c r="FW102" s="8"/>
      <c r="FX102" s="8"/>
      <c r="FY102" s="8"/>
      <c r="FZ102" s="8"/>
      <c r="GA102" s="8"/>
      <c r="GB102" s="8"/>
      <c r="GC102" s="8"/>
      <c r="GD102" s="8"/>
      <c r="GE102" s="8"/>
      <c r="GF102" s="8"/>
      <c r="GG102" s="8"/>
      <c r="GH102" s="8"/>
      <c r="GI102" s="8"/>
      <c r="GU102" s="8"/>
      <c r="GV102" s="8"/>
      <c r="GW102" s="8"/>
      <c r="GX102" s="8"/>
      <c r="GY102" s="8"/>
      <c r="GZ102" s="8"/>
      <c r="HA102" s="8"/>
      <c r="HB102" s="8"/>
      <c r="HC102" s="8"/>
      <c r="HD102" s="8"/>
      <c r="HE102" s="8"/>
      <c r="HF102" s="8"/>
      <c r="HG102" s="8"/>
      <c r="HH102" s="8"/>
    </row>
    <row r="103" spans="4:216" ht="13.5" thickBot="1">
      <c r="D103" s="8"/>
      <c r="E103" s="8"/>
      <c r="F103" s="8"/>
      <c r="G103" s="8"/>
      <c r="H103" s="8"/>
      <c r="M103" s="8"/>
      <c r="N103" s="8"/>
      <c r="S103" s="8"/>
      <c r="T103" s="8"/>
      <c r="U103" s="8"/>
      <c r="V103" s="8"/>
      <c r="W103" s="8"/>
      <c r="AH103" s="8"/>
      <c r="AI103" s="8"/>
      <c r="AJ103" s="8"/>
      <c r="AK103" s="8"/>
      <c r="BJ103" s="8"/>
      <c r="BY103" s="8"/>
      <c r="BZ103" s="8"/>
      <c r="CC103" s="8"/>
      <c r="CD103" s="8"/>
      <c r="CE103" s="8"/>
      <c r="CF103" s="8"/>
      <c r="CG103" s="13">
        <v>17</v>
      </c>
      <c r="CH103" s="13" t="str">
        <f t="shared" si="294"/>
        <v>Max Niedermaier</v>
      </c>
      <c r="CI103" s="770">
        <f t="shared" si="295"/>
        <v>0</v>
      </c>
      <c r="CS103" s="1254" t="s">
        <v>47</v>
      </c>
      <c r="CT103" s="1255"/>
      <c r="CU103" s="1255"/>
      <c r="CV103" s="1255"/>
      <c r="CW103" s="1255"/>
      <c r="CX103" s="1255"/>
      <c r="CY103" s="1255"/>
      <c r="CZ103" s="1255"/>
      <c r="DA103" s="1255"/>
      <c r="DB103" s="1255"/>
      <c r="DC103" s="1255"/>
      <c r="DD103" s="1256"/>
      <c r="FA103" s="251">
        <f t="shared" si="290"/>
        <v>17</v>
      </c>
      <c r="FB103" s="487" t="str">
        <f t="shared" si="291"/>
        <v>Max Niedermaier</v>
      </c>
      <c r="FC103" s="575">
        <f t="shared" si="292"/>
        <v>0</v>
      </c>
      <c r="FD103" s="600">
        <f t="shared" si="293"/>
        <v>4.2E-7</v>
      </c>
      <c r="FE103" s="8"/>
      <c r="FF103" s="8"/>
      <c r="FG103" s="8"/>
      <c r="FH103" s="8"/>
      <c r="FI103" s="8"/>
      <c r="FJ103" s="8"/>
      <c r="FK103" s="8"/>
      <c r="FL103" s="8"/>
      <c r="FM103" s="8"/>
      <c r="FN103" s="8"/>
      <c r="FO103" s="8"/>
      <c r="FP103" s="8"/>
      <c r="FQ103" s="8"/>
      <c r="FR103" s="8"/>
      <c r="FS103" s="8"/>
      <c r="FT103" s="8"/>
      <c r="FU103" s="8"/>
      <c r="FV103" s="8"/>
      <c r="FW103" s="8"/>
      <c r="FX103" s="8"/>
      <c r="FY103" s="8"/>
      <c r="FZ103" s="8"/>
      <c r="GA103" s="8"/>
      <c r="GB103" s="8"/>
      <c r="GC103" s="8"/>
      <c r="GD103" s="8"/>
      <c r="GE103" s="8"/>
      <c r="GF103" s="8"/>
      <c r="GG103" s="8"/>
      <c r="GH103" s="8"/>
      <c r="GI103" s="8"/>
      <c r="GU103" s="8"/>
      <c r="GV103" s="8"/>
      <c r="GW103" s="8"/>
      <c r="GX103" s="8"/>
      <c r="GY103" s="8"/>
      <c r="GZ103" s="8"/>
      <c r="HA103" s="8"/>
      <c r="HB103" s="8"/>
      <c r="HC103" s="8"/>
      <c r="HD103" s="8"/>
      <c r="HE103" s="8"/>
      <c r="HF103" s="8"/>
      <c r="HG103" s="8"/>
      <c r="HH103" s="8"/>
    </row>
    <row r="104" spans="4:216" ht="13.5" thickBot="1">
      <c r="D104" s="8"/>
      <c r="E104" s="8"/>
      <c r="F104" s="8"/>
      <c r="G104" s="8"/>
      <c r="H104" s="8"/>
      <c r="M104" s="8"/>
      <c r="N104" s="8"/>
      <c r="S104" s="8"/>
      <c r="T104" s="8"/>
      <c r="U104" s="8"/>
      <c r="V104" s="8"/>
      <c r="W104" s="8"/>
      <c r="AH104" s="8"/>
      <c r="AI104" s="8"/>
      <c r="AJ104" s="8"/>
      <c r="AK104" s="8"/>
      <c r="BJ104" s="8"/>
      <c r="BY104" s="8"/>
      <c r="BZ104" s="8"/>
      <c r="CC104" s="8"/>
      <c r="CD104" s="8"/>
      <c r="CE104" s="8"/>
      <c r="CF104" s="8"/>
      <c r="CG104" s="13">
        <v>18</v>
      </c>
      <c r="CH104" s="13" t="str">
        <f t="shared" si="294"/>
        <v>Daniel Henderson</v>
      </c>
      <c r="CI104" s="770">
        <f t="shared" si="295"/>
        <v>0</v>
      </c>
      <c r="CS104" s="1257"/>
      <c r="CT104" s="1258"/>
      <c r="CU104" s="1258"/>
      <c r="CV104" s="1258"/>
      <c r="CW104" s="1258"/>
      <c r="CX104" s="1258"/>
      <c r="CY104" s="1258"/>
      <c r="CZ104" s="1258"/>
      <c r="DA104" s="1258"/>
      <c r="DB104" s="1258"/>
      <c r="DC104" s="1258"/>
      <c r="DD104" s="1259"/>
      <c r="FE104" s="8"/>
      <c r="FF104" s="8"/>
      <c r="FG104" s="8"/>
      <c r="FH104" s="8"/>
      <c r="FI104" s="8"/>
      <c r="FJ104" s="8"/>
      <c r="FK104" s="8"/>
      <c r="FL104" s="8"/>
      <c r="FM104" s="8"/>
      <c r="FN104" s="8"/>
      <c r="FO104" s="8"/>
      <c r="FP104" s="8"/>
      <c r="FQ104" s="8"/>
      <c r="FR104" s="8"/>
      <c r="FS104" s="8"/>
      <c r="FT104" s="8"/>
      <c r="FU104" s="8"/>
      <c r="FV104" s="8"/>
      <c r="FW104" s="8"/>
      <c r="FX104" s="8"/>
      <c r="FY104" s="8"/>
      <c r="FZ104" s="8"/>
      <c r="GA104" s="8"/>
      <c r="GB104" s="8"/>
      <c r="GC104" s="8"/>
      <c r="GD104" s="8"/>
      <c r="GE104" s="8"/>
      <c r="GF104" s="8"/>
      <c r="GG104" s="8"/>
      <c r="GH104" s="8"/>
      <c r="GI104" s="8"/>
      <c r="GU104" s="8"/>
      <c r="GV104" s="8"/>
      <c r="GW104" s="8"/>
      <c r="GX104" s="8"/>
      <c r="GY104" s="8"/>
      <c r="GZ104" s="8"/>
      <c r="HA104" s="8"/>
      <c r="HB104" s="8"/>
      <c r="HC104" s="8"/>
      <c r="HD104" s="8"/>
      <c r="HE104" s="8"/>
      <c r="HF104" s="8"/>
      <c r="HG104" s="8"/>
      <c r="HH104" s="8"/>
    </row>
    <row r="107" spans="4:216">
      <c r="D107" s="8"/>
      <c r="E107" s="8"/>
      <c r="F107" s="8"/>
      <c r="G107" s="8"/>
      <c r="H107" s="8"/>
      <c r="M107" s="8"/>
      <c r="N107" s="8"/>
      <c r="S107" s="8"/>
      <c r="T107" s="8"/>
      <c r="U107" s="8"/>
      <c r="V107" s="8"/>
      <c r="W107" s="8"/>
      <c r="AH107" s="8"/>
      <c r="AI107" s="8"/>
      <c r="AJ107" s="8"/>
      <c r="AK107" s="8"/>
      <c r="BJ107" s="8"/>
      <c r="BY107" s="8"/>
      <c r="BZ107" s="8"/>
      <c r="CC107" s="8"/>
      <c r="CD107" s="8"/>
      <c r="CE107" s="8"/>
      <c r="CF107" s="8"/>
      <c r="CV107" s="418"/>
      <c r="CW107" s="419"/>
      <c r="CX107" s="419"/>
      <c r="CY107" s="419"/>
      <c r="CZ107" s="419"/>
      <c r="DA107" s="419"/>
      <c r="DB107" s="419"/>
      <c r="DC107" s="419"/>
      <c r="DD107" s="419"/>
      <c r="FE107" s="8"/>
      <c r="FF107" s="8"/>
      <c r="FG107" s="8"/>
      <c r="FH107" s="8"/>
      <c r="FI107" s="8"/>
      <c r="FJ107" s="8"/>
      <c r="FK107" s="8"/>
      <c r="FL107" s="8"/>
      <c r="FM107" s="8"/>
      <c r="FN107" s="8"/>
      <c r="FO107" s="8"/>
      <c r="FP107" s="8"/>
      <c r="FQ107" s="8"/>
      <c r="FR107" s="8"/>
      <c r="FS107" s="8"/>
      <c r="FT107" s="8"/>
      <c r="FU107" s="8"/>
      <c r="FV107" s="8"/>
      <c r="FW107" s="8"/>
      <c r="FX107" s="8"/>
      <c r="FY107" s="8"/>
      <c r="FZ107" s="8"/>
      <c r="GA107" s="8"/>
      <c r="GB107" s="8"/>
      <c r="GC107" s="8"/>
      <c r="GD107" s="8"/>
      <c r="GE107" s="8"/>
      <c r="GF107" s="8"/>
      <c r="GG107" s="8"/>
      <c r="GH107" s="8"/>
      <c r="GI107" s="8"/>
      <c r="GU107" s="8"/>
      <c r="GV107" s="8"/>
      <c r="GW107" s="8"/>
      <c r="GX107" s="8"/>
      <c r="GY107" s="8"/>
      <c r="GZ107" s="8"/>
      <c r="HA107" s="8"/>
      <c r="HB107" s="8"/>
      <c r="HC107" s="8"/>
      <c r="HD107" s="8"/>
      <c r="HE107" s="8"/>
      <c r="HF107" s="8"/>
      <c r="HG107" s="8"/>
      <c r="HH107" s="8"/>
    </row>
    <row r="108" spans="4:216">
      <c r="D108" s="8"/>
      <c r="E108" s="8"/>
      <c r="F108" s="8"/>
      <c r="G108" s="8"/>
      <c r="H108" s="8"/>
      <c r="M108" s="8"/>
      <c r="N108" s="8"/>
      <c r="S108" s="8"/>
      <c r="T108" s="8"/>
      <c r="U108" s="8"/>
      <c r="V108" s="8"/>
      <c r="W108" s="8"/>
      <c r="AH108" s="8"/>
      <c r="AI108" s="8"/>
      <c r="AJ108" s="8"/>
      <c r="AK108" s="8"/>
      <c r="BJ108" s="8"/>
      <c r="BY108" s="8"/>
      <c r="BZ108" s="8"/>
      <c r="CC108" s="8"/>
      <c r="CD108" s="8"/>
      <c r="CE108" s="8"/>
      <c r="CF108" s="8"/>
      <c r="CV108" s="420"/>
      <c r="CW108" s="421"/>
      <c r="CX108" s="421"/>
      <c r="CY108" s="421"/>
      <c r="CZ108" s="421"/>
      <c r="DA108" s="421"/>
      <c r="DB108" s="421"/>
      <c r="DC108" s="421"/>
      <c r="DD108" s="421"/>
      <c r="FE108" s="8"/>
      <c r="FF108" s="8"/>
      <c r="FG108" s="8"/>
      <c r="FH108" s="8"/>
      <c r="FI108" s="8"/>
      <c r="FJ108" s="8"/>
      <c r="FK108" s="8"/>
      <c r="FL108" s="8"/>
      <c r="FM108" s="8"/>
      <c r="FN108" s="8"/>
      <c r="FO108" s="8"/>
      <c r="FP108" s="8"/>
      <c r="FQ108" s="8"/>
      <c r="FR108" s="8"/>
      <c r="FS108" s="8"/>
      <c r="FT108" s="8"/>
      <c r="FU108" s="8"/>
      <c r="FV108" s="8"/>
      <c r="FW108" s="8"/>
      <c r="FX108" s="8"/>
      <c r="FY108" s="8"/>
      <c r="FZ108" s="8"/>
      <c r="GA108" s="8"/>
      <c r="GB108" s="8"/>
      <c r="GC108" s="8"/>
      <c r="GD108" s="8"/>
      <c r="GE108" s="8"/>
      <c r="GF108" s="8"/>
      <c r="GG108" s="8"/>
      <c r="GH108" s="8"/>
      <c r="GI108" s="8"/>
      <c r="GU108" s="8"/>
      <c r="GV108" s="8"/>
      <c r="GW108" s="8"/>
      <c r="GX108" s="8"/>
      <c r="GY108" s="8"/>
      <c r="GZ108" s="8"/>
      <c r="HA108" s="8"/>
      <c r="HB108" s="8"/>
      <c r="HC108" s="8"/>
      <c r="HD108" s="8"/>
      <c r="HE108" s="8"/>
      <c r="HF108" s="8"/>
      <c r="HG108" s="8"/>
      <c r="HH108" s="8"/>
    </row>
  </sheetData>
  <sheetProtection password="C331" sheet="1" objects="1" scenarios="1" formatColumns="0"/>
  <mergeCells count="385">
    <mergeCell ref="AZ36:BD36"/>
    <mergeCell ref="AZ37:BD37"/>
    <mergeCell ref="AZ38:BD38"/>
    <mergeCell ref="AZ39:BD39"/>
    <mergeCell ref="AZ40:BD40"/>
    <mergeCell ref="AZ41:BD41"/>
    <mergeCell ref="AZ42:BD42"/>
    <mergeCell ref="AZ43:BD43"/>
    <mergeCell ref="JJ72:JJ75"/>
    <mergeCell ref="CG66:CI66"/>
    <mergeCell ref="GW68:GW71"/>
    <mergeCell ref="HG68:HG71"/>
    <mergeCell ref="GW72:GW75"/>
    <mergeCell ref="HG72:HG75"/>
    <mergeCell ref="GW56:GW59"/>
    <mergeCell ref="HG56:HG59"/>
    <mergeCell ref="GW60:GW63"/>
    <mergeCell ref="HG60:HG63"/>
    <mergeCell ref="GW64:GW67"/>
    <mergeCell ref="HG64:HG67"/>
    <mergeCell ref="HG52:HG55"/>
    <mergeCell ref="FT44:FW44"/>
    <mergeCell ref="FY44:GC44"/>
    <mergeCell ref="GW44:GW47"/>
    <mergeCell ref="JJ76:JJ79"/>
    <mergeCell ref="JJ80:JJ83"/>
    <mergeCell ref="JJ84:JJ87"/>
    <mergeCell ref="JJ88:JJ91"/>
    <mergeCell ref="JJ48:JJ51"/>
    <mergeCell ref="JJ52:JJ55"/>
    <mergeCell ref="JJ56:JJ59"/>
    <mergeCell ref="JJ60:JJ63"/>
    <mergeCell ref="JJ64:JJ67"/>
    <mergeCell ref="JJ68:JJ71"/>
    <mergeCell ref="CS103:DD104"/>
    <mergeCell ref="JJ12:JJ15"/>
    <mergeCell ref="JJ16:JJ19"/>
    <mergeCell ref="JJ20:JJ23"/>
    <mergeCell ref="JJ24:JJ27"/>
    <mergeCell ref="JJ28:JJ31"/>
    <mergeCell ref="JJ32:JJ35"/>
    <mergeCell ref="JJ36:JJ39"/>
    <mergeCell ref="JJ40:JJ43"/>
    <mergeCell ref="JJ44:JJ47"/>
    <mergeCell ref="CS97:CS98"/>
    <mergeCell ref="CT97:DD97"/>
    <mergeCell ref="CT98:DD98"/>
    <mergeCell ref="CS100:CS101"/>
    <mergeCell ref="CT100:DD100"/>
    <mergeCell ref="CT101:DD101"/>
    <mergeCell ref="EZ85:FF85"/>
    <mergeCell ref="EZ65:FF65"/>
    <mergeCell ref="HN47:HN50"/>
    <mergeCell ref="HX47:HX50"/>
    <mergeCell ref="IH47:IH50"/>
    <mergeCell ref="GW48:GW51"/>
    <mergeCell ref="HG48:HG51"/>
    <mergeCell ref="GW52:GW55"/>
    <mergeCell ref="CG86:CI86"/>
    <mergeCell ref="GW88:GW91"/>
    <mergeCell ref="HG88:HG91"/>
    <mergeCell ref="CR89:DB91"/>
    <mergeCell ref="CS93:CS95"/>
    <mergeCell ref="CT93:DD93"/>
    <mergeCell ref="CT94:DD94"/>
    <mergeCell ref="CT95:DD95"/>
    <mergeCell ref="GW76:GW79"/>
    <mergeCell ref="HG76:HG79"/>
    <mergeCell ref="GW80:GW83"/>
    <mergeCell ref="HG80:HG83"/>
    <mergeCell ref="GW84:GW87"/>
    <mergeCell ref="HG84:HG87"/>
    <mergeCell ref="IH42:IH45"/>
    <mergeCell ref="FT40:FW40"/>
    <mergeCell ref="FY40:GC40"/>
    <mergeCell ref="H43:K43"/>
    <mergeCell ref="W43:Z43"/>
    <mergeCell ref="AL43:AO43"/>
    <mergeCell ref="FT43:FW43"/>
    <mergeCell ref="FY43:GC43"/>
    <mergeCell ref="AR44:AW47"/>
    <mergeCell ref="AY44:BF47"/>
    <mergeCell ref="FT41:FW41"/>
    <mergeCell ref="FY41:GC41"/>
    <mergeCell ref="H42:K42"/>
    <mergeCell ref="W42:Z42"/>
    <mergeCell ref="AL42:AO42"/>
    <mergeCell ref="HG44:HG47"/>
    <mergeCell ref="CG46:CI46"/>
    <mergeCell ref="CU46:CW46"/>
    <mergeCell ref="DD46:DE46"/>
    <mergeCell ref="DF46:DG46"/>
    <mergeCell ref="DH46:DI46"/>
    <mergeCell ref="FT46:FZ47"/>
    <mergeCell ref="HN42:HN45"/>
    <mergeCell ref="HX42:HX45"/>
    <mergeCell ref="A40:A42"/>
    <mergeCell ref="H40:K40"/>
    <mergeCell ref="P40:P42"/>
    <mergeCell ref="W40:Z40"/>
    <mergeCell ref="AE40:AE42"/>
    <mergeCell ref="AL40:AO40"/>
    <mergeCell ref="H39:K39"/>
    <mergeCell ref="W39:Z39"/>
    <mergeCell ref="AL39:AO39"/>
    <mergeCell ref="H41:K41"/>
    <mergeCell ref="W41:Z41"/>
    <mergeCell ref="AL41:AO41"/>
    <mergeCell ref="IZ36:IZ39"/>
    <mergeCell ref="H37:K37"/>
    <mergeCell ref="W37:Z37"/>
    <mergeCell ref="AL37:AO37"/>
    <mergeCell ref="FT37:FW37"/>
    <mergeCell ref="FY37:GC37"/>
    <mergeCell ref="HN37:HN40"/>
    <mergeCell ref="HX37:HX40"/>
    <mergeCell ref="IH37:IH40"/>
    <mergeCell ref="FT36:FW36"/>
    <mergeCell ref="FY36:GC36"/>
    <mergeCell ref="GW36:GW39"/>
    <mergeCell ref="HG36:HG39"/>
    <mergeCell ref="IU36:IU39"/>
    <mergeCell ref="FT38:FW38"/>
    <mergeCell ref="FY38:GC38"/>
    <mergeCell ref="IZ40:IZ43"/>
    <mergeCell ref="GW40:GW43"/>
    <mergeCell ref="FT39:FW39"/>
    <mergeCell ref="FY39:GC39"/>
    <mergeCell ref="HG40:HG43"/>
    <mergeCell ref="IU40:IU43"/>
    <mergeCell ref="FT42:FW42"/>
    <mergeCell ref="FY42:GC42"/>
    <mergeCell ref="A36:A38"/>
    <mergeCell ref="H36:K36"/>
    <mergeCell ref="P36:P38"/>
    <mergeCell ref="W36:Z36"/>
    <mergeCell ref="AE36:AE38"/>
    <mergeCell ref="AL36:AO36"/>
    <mergeCell ref="H38:K38"/>
    <mergeCell ref="W38:Z38"/>
    <mergeCell ref="AL38:AO38"/>
    <mergeCell ref="H33:K33"/>
    <mergeCell ref="W33:Z33"/>
    <mergeCell ref="AL33:AO33"/>
    <mergeCell ref="FT33:FW33"/>
    <mergeCell ref="FY33:GC33"/>
    <mergeCell ref="GW32:GW35"/>
    <mergeCell ref="HG32:HG35"/>
    <mergeCell ref="HN32:HN35"/>
    <mergeCell ref="H35:K35"/>
    <mergeCell ref="W35:Z35"/>
    <mergeCell ref="AL35:AO35"/>
    <mergeCell ref="FT35:FW35"/>
    <mergeCell ref="FY35:GC35"/>
    <mergeCell ref="H34:K34"/>
    <mergeCell ref="W34:Z34"/>
    <mergeCell ref="AL34:AO34"/>
    <mergeCell ref="FT34:FW34"/>
    <mergeCell ref="FY34:GC34"/>
    <mergeCell ref="AZ32:BD32"/>
    <mergeCell ref="AZ33:BD33"/>
    <mergeCell ref="AZ34:BD34"/>
    <mergeCell ref="AZ35:BD35"/>
    <mergeCell ref="HX32:HX35"/>
    <mergeCell ref="IU32:IU35"/>
    <mergeCell ref="IZ32:IZ35"/>
    <mergeCell ref="FY31:GC31"/>
    <mergeCell ref="A32:A34"/>
    <mergeCell ref="H32:K32"/>
    <mergeCell ref="P32:P34"/>
    <mergeCell ref="W32:Z32"/>
    <mergeCell ref="AE32:AE34"/>
    <mergeCell ref="AL32:AO32"/>
    <mergeCell ref="FT32:FW32"/>
    <mergeCell ref="FY32:GC32"/>
    <mergeCell ref="H31:K31"/>
    <mergeCell ref="W31:Z31"/>
    <mergeCell ref="AL31:AO31"/>
    <mergeCell ref="AV31:AW31"/>
    <mergeCell ref="AY31:BD31"/>
    <mergeCell ref="FT31:FW31"/>
    <mergeCell ref="IU28:IU31"/>
    <mergeCell ref="IZ28:IZ31"/>
    <mergeCell ref="H29:K29"/>
    <mergeCell ref="W29:Z29"/>
    <mergeCell ref="AE29:AR30"/>
    <mergeCell ref="FT29:FW29"/>
    <mergeCell ref="FY29:GC29"/>
    <mergeCell ref="H30:K30"/>
    <mergeCell ref="W30:Z30"/>
    <mergeCell ref="FT30:FW30"/>
    <mergeCell ref="HX27:HX30"/>
    <mergeCell ref="IH27:IH30"/>
    <mergeCell ref="A28:A30"/>
    <mergeCell ref="H28:K28"/>
    <mergeCell ref="P28:P30"/>
    <mergeCell ref="W28:Z28"/>
    <mergeCell ref="FT28:FW28"/>
    <mergeCell ref="FY28:GC28"/>
    <mergeCell ref="GW28:GW31"/>
    <mergeCell ref="HG28:HG31"/>
    <mergeCell ref="H27:K27"/>
    <mergeCell ref="W27:Z27"/>
    <mergeCell ref="AL27:AO27"/>
    <mergeCell ref="FT27:FW27"/>
    <mergeCell ref="FY27:GC27"/>
    <mergeCell ref="HN27:HN30"/>
    <mergeCell ref="FY30:GC30"/>
    <mergeCell ref="EY25:EY26"/>
    <mergeCell ref="FK25:FL25"/>
    <mergeCell ref="H26:K26"/>
    <mergeCell ref="W26:Z26"/>
    <mergeCell ref="AL26:AO26"/>
    <mergeCell ref="CG26:CJ26"/>
    <mergeCell ref="CU26:CW26"/>
    <mergeCell ref="HG24:HG27"/>
    <mergeCell ref="IU24:IU27"/>
    <mergeCell ref="IZ24:IZ27"/>
    <mergeCell ref="JE24:JE27"/>
    <mergeCell ref="H25:K25"/>
    <mergeCell ref="W25:Z25"/>
    <mergeCell ref="AL25:AO25"/>
    <mergeCell ref="CG25:CJ25"/>
    <mergeCell ref="DR25:EG25"/>
    <mergeCell ref="EI25:EX25"/>
    <mergeCell ref="A24:A26"/>
    <mergeCell ref="H24:K24"/>
    <mergeCell ref="P24:P26"/>
    <mergeCell ref="W24:Z24"/>
    <mergeCell ref="AE24:AE26"/>
    <mergeCell ref="AL24:AO24"/>
    <mergeCell ref="HN22:HN25"/>
    <mergeCell ref="HX22:HX25"/>
    <mergeCell ref="IH22:IH25"/>
    <mergeCell ref="H23:K23"/>
    <mergeCell ref="W23:Z23"/>
    <mergeCell ref="AL23:AO23"/>
    <mergeCell ref="FS23:GI23"/>
    <mergeCell ref="DR24:EY24"/>
    <mergeCell ref="GK24:GP25"/>
    <mergeCell ref="GW24:GW27"/>
    <mergeCell ref="IU20:IU23"/>
    <mergeCell ref="IZ20:IZ23"/>
    <mergeCell ref="JE20:JE23"/>
    <mergeCell ref="H21:K21"/>
    <mergeCell ref="W21:Z21"/>
    <mergeCell ref="AL21:AO21"/>
    <mergeCell ref="CC21:CP21"/>
    <mergeCell ref="H22:K22"/>
    <mergeCell ref="W22:Z22"/>
    <mergeCell ref="AL22:AO22"/>
    <mergeCell ref="A20:A22"/>
    <mergeCell ref="H20:K20"/>
    <mergeCell ref="P20:P22"/>
    <mergeCell ref="W20:Z20"/>
    <mergeCell ref="AE20:AE22"/>
    <mergeCell ref="AL20:AO20"/>
    <mergeCell ref="IH17:IH20"/>
    <mergeCell ref="H18:K18"/>
    <mergeCell ref="W18:Z18"/>
    <mergeCell ref="AL18:AO18"/>
    <mergeCell ref="H19:K19"/>
    <mergeCell ref="W19:Z19"/>
    <mergeCell ref="AL19:AO19"/>
    <mergeCell ref="GW20:GW23"/>
    <mergeCell ref="HG20:HG23"/>
    <mergeCell ref="CC22:CP22"/>
    <mergeCell ref="GW16:GW19"/>
    <mergeCell ref="HG16:HG19"/>
    <mergeCell ref="A16:A18"/>
    <mergeCell ref="IU16:IU19"/>
    <mergeCell ref="IZ16:IZ19"/>
    <mergeCell ref="JE16:JE19"/>
    <mergeCell ref="H17:K17"/>
    <mergeCell ref="W17:Z17"/>
    <mergeCell ref="AL17:AO17"/>
    <mergeCell ref="HN17:HN20"/>
    <mergeCell ref="HX17:HX20"/>
    <mergeCell ref="AL15:AO15"/>
    <mergeCell ref="H16:K16"/>
    <mergeCell ref="P16:P18"/>
    <mergeCell ref="W16:Z16"/>
    <mergeCell ref="AE16:AE18"/>
    <mergeCell ref="AL16:AO16"/>
    <mergeCell ref="IZ12:IZ15"/>
    <mergeCell ref="JE12:JE15"/>
    <mergeCell ref="H13:K13"/>
    <mergeCell ref="W13:Z13"/>
    <mergeCell ref="AL13:AO13"/>
    <mergeCell ref="H14:K14"/>
    <mergeCell ref="W14:Z14"/>
    <mergeCell ref="AL14:AO14"/>
    <mergeCell ref="H15:K15"/>
    <mergeCell ref="W15:Z15"/>
    <mergeCell ref="GW12:GW15"/>
    <mergeCell ref="HG12:HG15"/>
    <mergeCell ref="HN12:HN15"/>
    <mergeCell ref="HX12:HX15"/>
    <mergeCell ref="IH12:IH15"/>
    <mergeCell ref="IU12:IU15"/>
    <mergeCell ref="A12:A14"/>
    <mergeCell ref="H12:K12"/>
    <mergeCell ref="P12:P14"/>
    <mergeCell ref="W12:Z12"/>
    <mergeCell ref="AE12:AE14"/>
    <mergeCell ref="AL12:AO12"/>
    <mergeCell ref="IN10:IN11"/>
    <mergeCell ref="IP10:IP11"/>
    <mergeCell ref="G11:K11"/>
    <mergeCell ref="V11:Z11"/>
    <mergeCell ref="AK11:AO11"/>
    <mergeCell ref="AT11:AU11"/>
    <mergeCell ref="I7:N7"/>
    <mergeCell ref="I8:N9"/>
    <mergeCell ref="BD9:BF10"/>
    <mergeCell ref="IU9:JH10"/>
    <mergeCell ref="AT10:BB10"/>
    <mergeCell ref="HO10:HO11"/>
    <mergeCell ref="HV10:HV11"/>
    <mergeCell ref="HY10:HY11"/>
    <mergeCell ref="ID10:ID11"/>
    <mergeCell ref="IF10:IF11"/>
    <mergeCell ref="HA4:HA11"/>
    <mergeCell ref="AT5:AU5"/>
    <mergeCell ref="AW5:AX5"/>
    <mergeCell ref="AY5:AZ5"/>
    <mergeCell ref="BA5:BB5"/>
    <mergeCell ref="BC5:BD5"/>
    <mergeCell ref="BK3:BK11"/>
    <mergeCell ref="GX3:GX11"/>
    <mergeCell ref="HH3:HH11"/>
    <mergeCell ref="AT4:AU4"/>
    <mergeCell ref="AW4:AX4"/>
    <mergeCell ref="AY4:AZ4"/>
    <mergeCell ref="BA4:BB4"/>
    <mergeCell ref="BC4:BD4"/>
    <mergeCell ref="GY4:GY11"/>
    <mergeCell ref="GZ4:GZ11"/>
    <mergeCell ref="II10:II11"/>
    <mergeCell ref="AT3:AU3"/>
    <mergeCell ref="AW3:AX3"/>
    <mergeCell ref="AY3:AZ3"/>
    <mergeCell ref="BA3:BB3"/>
    <mergeCell ref="BC3:BD3"/>
    <mergeCell ref="AT2:AU2"/>
    <mergeCell ref="AW2:AX2"/>
    <mergeCell ref="AY2:AZ2"/>
    <mergeCell ref="BA2:BB2"/>
    <mergeCell ref="BC2:BD2"/>
    <mergeCell ref="FI1:FI2"/>
    <mergeCell ref="FJ1:FJ2"/>
    <mergeCell ref="FK1:FK2"/>
    <mergeCell ref="FT1:GI1"/>
    <mergeCell ref="GK1:GQ1"/>
    <mergeCell ref="GV1:HL1"/>
    <mergeCell ref="FC1:FC2"/>
    <mergeCell ref="FD1:FD2"/>
    <mergeCell ref="FE1:FE2"/>
    <mergeCell ref="FF1:FF2"/>
    <mergeCell ref="FG1:FG2"/>
    <mergeCell ref="FH1:FH2"/>
    <mergeCell ref="DR1:EG1"/>
    <mergeCell ref="EI1:EX1"/>
    <mergeCell ref="EY1:EY2"/>
    <mergeCell ref="CR1:CR2"/>
    <mergeCell ref="CS1:CS2"/>
    <mergeCell ref="CT1:DC1"/>
    <mergeCell ref="DD1:DK1"/>
    <mergeCell ref="DL1:DL2"/>
    <mergeCell ref="DM1:DM2"/>
    <mergeCell ref="DD2:DE2"/>
    <mergeCell ref="DF2:DG2"/>
    <mergeCell ref="DH2:DI2"/>
    <mergeCell ref="DJ2:DK2"/>
    <mergeCell ref="AT1:AU1"/>
    <mergeCell ref="AW1:AX1"/>
    <mergeCell ref="AY1:AZ1"/>
    <mergeCell ref="BA1:BB1"/>
    <mergeCell ref="BC1:BD1"/>
    <mergeCell ref="CC1:CO1"/>
    <mergeCell ref="DN1:DN2"/>
    <mergeCell ref="DO1:DO2"/>
    <mergeCell ref="DP1:DP2"/>
    <mergeCell ref="CG2:CH2"/>
    <mergeCell ref="CC2:CD2"/>
  </mergeCells>
  <conditionalFormatting sqref="AV32:AV43 BN48 BN51">
    <cfRule type="expression" dxfId="46" priority="42" stopIfTrue="1">
      <formula>AW32&lt;&gt;""</formula>
    </cfRule>
  </conditionalFormatting>
  <conditionalFormatting sqref="BN50">
    <cfRule type="expression" dxfId="45" priority="43" stopIfTrue="1">
      <formula>BO49&lt;&gt;""</formula>
    </cfRule>
  </conditionalFormatting>
  <conditionalFormatting sqref="BN49">
    <cfRule type="expression" dxfId="44" priority="44" stopIfTrue="1">
      <formula>BO50&lt;&gt;""</formula>
    </cfRule>
  </conditionalFormatting>
  <conditionalFormatting sqref="AV12:AV29 S10:V10 U2:V9 AJ2:AK10">
    <cfRule type="cellIs" dxfId="43" priority="45" stopIfTrue="1" operator="equal">
      <formula>$D$46</formula>
    </cfRule>
    <cfRule type="cellIs" dxfId="42" priority="46" stopIfTrue="1" operator="equal">
      <formula>$D$47</formula>
    </cfRule>
    <cfRule type="cellIs" dxfId="41" priority="47" stopIfTrue="1" operator="equal">
      <formula>$D$48</formula>
    </cfRule>
  </conditionalFormatting>
  <conditionalFormatting sqref="CO3:CO20">
    <cfRule type="cellIs" dxfId="40" priority="48" stopIfTrue="1" operator="equal">
      <formula>$S$19</formula>
    </cfRule>
  </conditionalFormatting>
  <conditionalFormatting sqref="CP3:CP20">
    <cfRule type="cellIs" dxfId="39" priority="49" stopIfTrue="1" operator="lessThan">
      <formula>$S$18</formula>
    </cfRule>
    <cfRule type="cellIs" dxfId="38" priority="50" stopIfTrue="1" operator="equal">
      <formula>$S$18</formula>
    </cfRule>
  </conditionalFormatting>
  <conditionalFormatting sqref="AB2:AB10 AQ2:AQ10">
    <cfRule type="cellIs" dxfId="37" priority="51" stopIfTrue="1" operator="equal">
      <formula>$CA$32</formula>
    </cfRule>
  </conditionalFormatting>
  <conditionalFormatting sqref="FE27:FE44">
    <cfRule type="expression" dxfId="36" priority="41">
      <formula>$FD27&gt;0</formula>
    </cfRule>
  </conditionalFormatting>
  <conditionalFormatting sqref="N12:N15 AT2:AT5">
    <cfRule type="cellIs" dxfId="35" priority="37" operator="equal">
      <formula>"Y"</formula>
    </cfRule>
    <cfRule type="containsText" dxfId="34" priority="38" operator="containsText" text="B">
      <formula>NOT(ISERROR(SEARCH("B",N2)))</formula>
    </cfRule>
    <cfRule type="containsText" dxfId="33" priority="39" operator="containsText" text="w">
      <formula>NOT(ISERROR(SEARCH("w",N2)))</formula>
    </cfRule>
    <cfRule type="containsText" dxfId="32" priority="40" operator="containsText" text="R">
      <formula>NOT(ISERROR(SEARCH("R",N2)))</formula>
    </cfRule>
  </conditionalFormatting>
  <conditionalFormatting sqref="N16:N43">
    <cfRule type="cellIs" dxfId="31" priority="33" operator="equal">
      <formula>"Y"</formula>
    </cfRule>
    <cfRule type="containsText" dxfId="30" priority="34" operator="containsText" text="B">
      <formula>NOT(ISERROR(SEARCH("B",N16)))</formula>
    </cfRule>
    <cfRule type="containsText" dxfId="29" priority="35" operator="containsText" text="w">
      <formula>NOT(ISERROR(SEARCH("w",N16)))</formula>
    </cfRule>
    <cfRule type="containsText" dxfId="28" priority="36" operator="containsText" text="R">
      <formula>NOT(ISERROR(SEARCH("R",N16)))</formula>
    </cfRule>
  </conditionalFormatting>
  <conditionalFormatting sqref="AC12:AC15">
    <cfRule type="containsText" dxfId="27" priority="29" stopIfTrue="1" operator="containsText" text="Y">
      <formula>NOT(ISERROR(SEARCH("Y",AC12)))</formula>
    </cfRule>
    <cfRule type="containsText" dxfId="26" priority="30" stopIfTrue="1" operator="containsText" text="w">
      <formula>NOT(ISERROR(SEARCH("w",AC12)))</formula>
    </cfRule>
    <cfRule type="containsText" dxfId="25" priority="31" stopIfTrue="1" operator="containsText" text="B">
      <formula>NOT(ISERROR(SEARCH("B",AC12)))</formula>
    </cfRule>
    <cfRule type="containsText" dxfId="24" priority="32" stopIfTrue="1" operator="containsText" text="R">
      <formula>NOT(ISERROR(SEARCH("R",AC12)))</formula>
    </cfRule>
  </conditionalFormatting>
  <conditionalFormatting sqref="AC16:AC43">
    <cfRule type="containsText" dxfId="23" priority="25" stopIfTrue="1" operator="containsText" text="Y">
      <formula>NOT(ISERROR(SEARCH("Y",AC16)))</formula>
    </cfRule>
    <cfRule type="containsText" dxfId="22" priority="26" stopIfTrue="1" operator="containsText" text="w">
      <formula>NOT(ISERROR(SEARCH("w",AC16)))</formula>
    </cfRule>
    <cfRule type="containsText" dxfId="21" priority="27" stopIfTrue="1" operator="containsText" text="B">
      <formula>NOT(ISERROR(SEARCH("B",AC16)))</formula>
    </cfRule>
    <cfRule type="containsText" dxfId="20" priority="28" stopIfTrue="1" operator="containsText" text="R">
      <formula>NOT(ISERROR(SEARCH("R",AC16)))</formula>
    </cfRule>
  </conditionalFormatting>
  <conditionalFormatting sqref="AR12:AR27">
    <cfRule type="containsText" dxfId="19" priority="21" stopIfTrue="1" operator="containsText" text="Y">
      <formula>NOT(ISERROR(SEARCH("Y",AR12)))</formula>
    </cfRule>
    <cfRule type="containsText" dxfId="18" priority="22" stopIfTrue="1" operator="containsText" text="w">
      <formula>NOT(ISERROR(SEARCH("w",AR12)))</formula>
    </cfRule>
    <cfRule type="containsText" dxfId="17" priority="23" stopIfTrue="1" operator="containsText" text="B">
      <formula>NOT(ISERROR(SEARCH("B",AR12)))</formula>
    </cfRule>
    <cfRule type="containsText" dxfId="16" priority="24" stopIfTrue="1" operator="containsText" text="R">
      <formula>NOT(ISERROR(SEARCH("R",AR12)))</formula>
    </cfRule>
  </conditionalFormatting>
  <conditionalFormatting sqref="AW32:AW43">
    <cfRule type="containsText" dxfId="15" priority="17" stopIfTrue="1" operator="containsText" text="Y">
      <formula>NOT(ISERROR(SEARCH("Y",AW32)))</formula>
    </cfRule>
    <cfRule type="containsText" dxfId="14" priority="18" stopIfTrue="1" operator="containsText" text="w">
      <formula>NOT(ISERROR(SEARCH("w",AW32)))</formula>
    </cfRule>
    <cfRule type="containsText" dxfId="13" priority="19" stopIfTrue="1" operator="containsText" text="B">
      <formula>NOT(ISERROR(SEARCH("B",AW32)))</formula>
    </cfRule>
    <cfRule type="containsText" dxfId="12" priority="20" stopIfTrue="1" operator="containsText" text="R">
      <formula>NOT(ISERROR(SEARCH("R",AW32)))</formula>
    </cfRule>
  </conditionalFormatting>
  <conditionalFormatting sqref="AR32:AR43">
    <cfRule type="containsText" dxfId="11" priority="13" stopIfTrue="1" operator="containsText" text="Y">
      <formula>NOT(ISERROR(SEARCH("Y",AR32)))</formula>
    </cfRule>
    <cfRule type="containsText" dxfId="10" priority="14" stopIfTrue="1" operator="containsText" text="w">
      <formula>NOT(ISERROR(SEARCH("w",AR32)))</formula>
    </cfRule>
    <cfRule type="containsText" dxfId="9" priority="15" stopIfTrue="1" operator="containsText" text="B">
      <formula>NOT(ISERROR(SEARCH("B",AR32)))</formula>
    </cfRule>
    <cfRule type="containsText" dxfId="8" priority="16" stopIfTrue="1" operator="containsText" text="R">
      <formula>NOT(ISERROR(SEARCH("R",AR32)))</formula>
    </cfRule>
  </conditionalFormatting>
  <conditionalFormatting sqref="AH10:AI10">
    <cfRule type="cellIs" dxfId="7" priority="10" stopIfTrue="1" operator="equal">
      <formula>$D$46</formula>
    </cfRule>
    <cfRule type="cellIs" dxfId="6" priority="11" stopIfTrue="1" operator="equal">
      <formula>$D$47</formula>
    </cfRule>
    <cfRule type="cellIs" dxfId="5" priority="12" stopIfTrue="1" operator="equal">
      <formula>$D$48</formula>
    </cfRule>
  </conditionalFormatting>
  <conditionalFormatting sqref="P2:P5">
    <cfRule type="cellIs" dxfId="4" priority="6" operator="equal">
      <formula>"Y"</formula>
    </cfRule>
    <cfRule type="containsText" dxfId="3" priority="7" operator="containsText" text="B">
      <formula>NOT(ISERROR(SEARCH("B",P2)))</formula>
    </cfRule>
    <cfRule type="containsText" dxfId="2" priority="8" operator="containsText" text="w">
      <formula>NOT(ISERROR(SEARCH("w",P2)))</formula>
    </cfRule>
    <cfRule type="containsText" dxfId="1" priority="9" operator="containsText" text="R">
      <formula>NOT(ISERROR(SEARCH("R",P2)))</formula>
    </cfRule>
  </conditionalFormatting>
  <conditionalFormatting sqref="FE45:FE62">
    <cfRule type="expression" dxfId="0" priority="1">
      <formula>$FD45&gt;0</formula>
    </cfRule>
  </conditionalFormatting>
  <printOptions horizontalCentered="1" verticalCentered="1"/>
  <pageMargins left="0.19685039370078741" right="0.19685039370078741" top="0.19685039370078741" bottom="0.19685039370078741" header="0" footer="0"/>
  <pageSetup paperSize="9" scale="75" orientation="landscape"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M48"/>
  <sheetViews>
    <sheetView showGridLines="0" topLeftCell="A7" zoomScale="90" zoomScaleNormal="90" workbookViewId="0">
      <selection activeCell="H28" sqref="H28"/>
    </sheetView>
  </sheetViews>
  <sheetFormatPr defaultColWidth="8.85546875" defaultRowHeight="15"/>
  <cols>
    <col min="1" max="1" width="7.28515625" style="365" customWidth="1"/>
    <col min="2" max="2" width="6.7109375" style="386" customWidth="1"/>
    <col min="3" max="4" width="25.7109375" style="365" customWidth="1"/>
    <col min="5" max="5" width="26.7109375" style="365" customWidth="1"/>
    <col min="6" max="8" width="27.7109375" style="365" customWidth="1"/>
    <col min="9" max="9" width="1.7109375" style="365" customWidth="1"/>
    <col min="10" max="10" width="17.7109375" style="365" bestFit="1" customWidth="1"/>
    <col min="11" max="12" width="30.7109375" style="365" customWidth="1"/>
    <col min="13" max="16384" width="8.85546875" style="365"/>
  </cols>
  <sheetData>
    <row r="1" spans="1:13" ht="27.75">
      <c r="A1" s="1265" t="str">
        <f>Draw!T3</f>
        <v>MOTUL FIM Ice Speedway Gladiators World Championship. 2015</v>
      </c>
      <c r="B1" s="1265"/>
      <c r="C1" s="1265"/>
      <c r="D1" s="1265"/>
      <c r="E1" s="1265"/>
      <c r="F1" s="1265"/>
      <c r="G1" s="1265"/>
      <c r="H1" s="1265"/>
      <c r="J1"/>
      <c r="K1"/>
      <c r="L1"/>
    </row>
    <row r="2" spans="1:13" ht="4.9000000000000004" customHeight="1">
      <c r="A2" s="769"/>
      <c r="B2" s="769"/>
      <c r="C2" s="769"/>
      <c r="D2" s="769"/>
      <c r="E2" s="769"/>
      <c r="F2" s="769"/>
      <c r="G2" s="769"/>
      <c r="H2" s="769"/>
      <c r="J2"/>
      <c r="K2"/>
      <c r="L2"/>
    </row>
    <row r="3" spans="1:13" ht="18">
      <c r="B3" s="771"/>
      <c r="D3" s="840" t="str">
        <f>"Round "&amp;Draw!T5&amp;" "&amp; Draw!T6&amp;", "&amp;Draw!T7&amp;"."</f>
        <v>Round 4 Assen, Netherlands.</v>
      </c>
      <c r="E3" s="840"/>
      <c r="F3" s="364" t="s">
        <v>187</v>
      </c>
      <c r="G3" s="469" t="str">
        <f>Draw!T10</f>
        <v>Mick Posselwhite: ACU</v>
      </c>
      <c r="H3" s="364"/>
      <c r="J3"/>
      <c r="K3"/>
      <c r="L3"/>
    </row>
    <row r="4" spans="1:13" ht="4.9000000000000004" customHeight="1">
      <c r="A4" s="771"/>
      <c r="B4" s="771"/>
      <c r="C4" s="840"/>
      <c r="D4" s="840"/>
      <c r="E4" s="840"/>
      <c r="F4" s="366"/>
      <c r="G4" s="470"/>
      <c r="H4" s="366"/>
      <c r="J4"/>
      <c r="K4"/>
      <c r="L4"/>
    </row>
    <row r="5" spans="1:13" ht="18">
      <c r="B5" s="771"/>
      <c r="D5" s="1272" t="str">
        <f>"IMN No. "&amp;Draw!T4&amp;".   Day 2"</f>
        <v>IMN No. 504/06.   Day 2</v>
      </c>
      <c r="E5" s="1272"/>
      <c r="F5" s="364" t="s">
        <v>188</v>
      </c>
      <c r="G5" s="469" t="str">
        <f>Draw!T11</f>
        <v>Susanne Hüttinger: OeAMTC</v>
      </c>
      <c r="H5" s="364"/>
      <c r="J5"/>
      <c r="K5"/>
      <c r="L5"/>
    </row>
    <row r="6" spans="1:13" ht="4.9000000000000004" customHeight="1">
      <c r="A6" s="771"/>
      <c r="B6" s="771"/>
      <c r="C6" s="553"/>
      <c r="D6" s="553"/>
      <c r="E6" s="553"/>
      <c r="F6" s="366"/>
      <c r="G6" s="470"/>
      <c r="H6" s="366"/>
      <c r="J6"/>
      <c r="K6"/>
      <c r="L6"/>
    </row>
    <row r="7" spans="1:13" ht="17.45" customHeight="1">
      <c r="B7" s="771"/>
      <c r="D7" s="1273" t="str">
        <f>Draw!T9</f>
        <v>8th March 2015</v>
      </c>
      <c r="E7" s="1273"/>
      <c r="F7" s="364"/>
      <c r="G7" s="469"/>
      <c r="H7" s="364"/>
      <c r="J7"/>
      <c r="K7"/>
      <c r="L7"/>
    </row>
    <row r="8" spans="1:13" ht="4.9000000000000004" customHeight="1">
      <c r="A8" s="771"/>
      <c r="B8" s="771"/>
      <c r="C8" s="553"/>
      <c r="D8" s="553"/>
      <c r="E8" s="553"/>
      <c r="F8" s="366"/>
      <c r="G8" s="366"/>
      <c r="H8" s="366"/>
      <c r="I8" s="366"/>
      <c r="J8"/>
      <c r="K8"/>
      <c r="L8"/>
    </row>
    <row r="9" spans="1:13" ht="17.45" customHeight="1">
      <c r="A9" s="771"/>
      <c r="B9" s="771"/>
      <c r="C9" s="771"/>
      <c r="D9" s="771"/>
      <c r="E9" s="771"/>
      <c r="F9" s="364"/>
      <c r="G9" s="469"/>
      <c r="H9" s="366"/>
      <c r="I9" s="366"/>
      <c r="J9"/>
      <c r="K9"/>
      <c r="L9"/>
    </row>
    <row r="10" spans="1:13" ht="4.9000000000000004" customHeight="1" thickBot="1">
      <c r="A10" s="367"/>
      <c r="B10" s="367"/>
      <c r="C10" s="367"/>
      <c r="D10" s="367"/>
      <c r="E10" s="367"/>
      <c r="F10" s="366"/>
      <c r="G10" s="367"/>
      <c r="H10" s="366"/>
      <c r="I10" s="366"/>
      <c r="J10"/>
      <c r="K10"/>
      <c r="L10"/>
    </row>
    <row r="11" spans="1:13" ht="15.75" thickBot="1">
      <c r="A11" s="368" t="s">
        <v>1</v>
      </c>
      <c r="B11" s="382" t="s">
        <v>82</v>
      </c>
      <c r="C11" s="369" t="s">
        <v>83</v>
      </c>
      <c r="D11" s="369" t="s">
        <v>84</v>
      </c>
      <c r="E11" s="369" t="s">
        <v>86</v>
      </c>
      <c r="F11" s="369" t="s">
        <v>85</v>
      </c>
      <c r="G11" s="1266" t="s">
        <v>87</v>
      </c>
      <c r="H11" s="1267"/>
      <c r="J11"/>
      <c r="K11"/>
      <c r="L11"/>
    </row>
    <row r="12" spans="1:13" ht="15.75">
      <c r="A12" s="370">
        <v>1</v>
      </c>
      <c r="B12" s="383" t="str">
        <f>IF('Day 2'!HN16="","",'Day 2'!HN16)</f>
        <v/>
      </c>
      <c r="C12" s="371" t="str">
        <f>IF('Day 2'!$HW12="","",'Day 2'!$HW12)</f>
        <v/>
      </c>
      <c r="D12" s="371" t="str">
        <f>IF('Day 2'!$HW13="","",'Day 2'!$HW13)</f>
        <v/>
      </c>
      <c r="E12" s="371" t="str">
        <f>IF('Day 2'!$HW14="","",'Day 2'!$HW14)</f>
        <v/>
      </c>
      <c r="F12" s="371" t="str">
        <f>IF('Day 2'!$HW15="","",'Day 2'!$HW15)</f>
        <v/>
      </c>
      <c r="G12" s="371" t="str">
        <f>IF('Day 2'!$HW16="","",'Day 2'!$HW16)</f>
        <v/>
      </c>
      <c r="H12" s="372"/>
      <c r="J12" s="1274" t="s">
        <v>328</v>
      </c>
      <c r="K12" s="1275"/>
      <c r="L12"/>
      <c r="M12"/>
    </row>
    <row r="13" spans="1:13" ht="15.75">
      <c r="A13" s="373">
        <v>2</v>
      </c>
      <c r="B13" s="384" t="str">
        <f>IF('Day 2'!HN21="","",'Day 2'!HN21)</f>
        <v/>
      </c>
      <c r="C13" s="374" t="str">
        <f>IF('Day 2'!$HW17="","",'Day 2'!$HW17)</f>
        <v/>
      </c>
      <c r="D13" s="374" t="str">
        <f>IF('Day 2'!$HW18="","",'Day 2'!$HW18)</f>
        <v/>
      </c>
      <c r="E13" s="374" t="str">
        <f>IF('Day 2'!$HW19="","",'Day 2'!$HW19)</f>
        <v/>
      </c>
      <c r="F13" s="374" t="str">
        <f>IF('Day 2'!$HW20="","",'Day 2'!$HW20)</f>
        <v/>
      </c>
      <c r="G13" s="374" t="str">
        <f>IF('Day 2'!$HW21="","",'Day 2'!$HW21)</f>
        <v/>
      </c>
      <c r="H13" s="375"/>
      <c r="J13" s="1276"/>
      <c r="K13" s="1277"/>
      <c r="L13"/>
      <c r="M13"/>
    </row>
    <row r="14" spans="1:13" ht="15.75">
      <c r="A14" s="373">
        <v>3</v>
      </c>
      <c r="B14" s="384" t="str">
        <f>IF('Day 2'!HN26="","",'Day 2'!HN26)</f>
        <v/>
      </c>
      <c r="C14" s="374" t="str">
        <f>IF('Day 2'!$HW22="","",'Day 2'!$HW22)</f>
        <v/>
      </c>
      <c r="D14" s="374" t="str">
        <f>IF('Day 2'!$HW23="","",'Day 2'!$HW23)</f>
        <v/>
      </c>
      <c r="E14" s="374" t="str">
        <f>IF('Day 2'!$HW24="","",'Day 2'!$HW24)</f>
        <v/>
      </c>
      <c r="F14" s="374" t="str">
        <f>IF('Day 2'!$HW25="","",'Day 2'!$HW25)</f>
        <v/>
      </c>
      <c r="G14" s="374" t="str">
        <f>IF('Day 2'!$HW26="","",'Day 2'!$HW26)</f>
        <v/>
      </c>
      <c r="H14" s="375"/>
      <c r="J14" s="1276"/>
      <c r="K14" s="1277"/>
      <c r="L14"/>
      <c r="M14"/>
    </row>
    <row r="15" spans="1:13" ht="16.5" thickBot="1">
      <c r="A15" s="376">
        <v>4</v>
      </c>
      <c r="B15" s="385" t="str">
        <f>IF('Day 2'!HN31="","",'Day 2'!HN31)</f>
        <v/>
      </c>
      <c r="C15" s="377" t="str">
        <f>IF('Day 2'!$HW27="","",'Day 2'!$HW27)</f>
        <v/>
      </c>
      <c r="D15" s="377" t="str">
        <f>IF('Day 2'!$HW28="","",'Day 2'!$HW28)</f>
        <v/>
      </c>
      <c r="E15" s="377" t="str">
        <f>IF('Day 2'!$HW29="","",'Day 2'!$HW29)</f>
        <v/>
      </c>
      <c r="F15" s="377" t="str">
        <f>IF('Day 2'!$HW30="","",'Day 2'!$HW30)</f>
        <v/>
      </c>
      <c r="G15" s="377" t="str">
        <f>IF('Day 2'!$HW31="","",'Day 2'!$HW31)</f>
        <v/>
      </c>
      <c r="H15" s="378"/>
      <c r="J15" s="1278"/>
      <c r="K15" s="1279"/>
      <c r="L15"/>
      <c r="M15"/>
    </row>
    <row r="16" spans="1:13" s="13" customFormat="1" ht="13.9" customHeight="1" thickBot="1">
      <c r="A16" s="1268" t="s">
        <v>69</v>
      </c>
      <c r="B16" s="1268"/>
      <c r="C16" s="1268"/>
      <c r="D16" s="1268"/>
      <c r="E16" s="1268"/>
      <c r="F16" s="1268"/>
      <c r="G16" s="1268"/>
      <c r="H16" s="1268"/>
      <c r="J16"/>
      <c r="K16"/>
      <c r="L16"/>
      <c r="M16"/>
    </row>
    <row r="17" spans="1:13" ht="15.75">
      <c r="A17" s="370">
        <v>5</v>
      </c>
      <c r="B17" s="383" t="str">
        <f>IF('Day 2'!HN36="","",'Day 2'!HN36)</f>
        <v/>
      </c>
      <c r="C17" s="371" t="str">
        <f>IF('Day 2'!$HW32="","",'Day 2'!$HW32)</f>
        <v/>
      </c>
      <c r="D17" s="371" t="str">
        <f>IF('Day 2'!$HW33="","",'Day 2'!$HW33)</f>
        <v/>
      </c>
      <c r="E17" s="371" t="str">
        <f>IF('Day 2'!$HW34="","",'Day 2'!$HW34)</f>
        <v/>
      </c>
      <c r="F17" s="371" t="str">
        <f>IF('Day 2'!$HW35="","",'Day 2'!$HW35)</f>
        <v/>
      </c>
      <c r="G17" s="371" t="str">
        <f>IF('Day 2'!$HW36="","",'Day 2'!$HW36)</f>
        <v/>
      </c>
      <c r="H17" s="372"/>
      <c r="J17"/>
      <c r="K17"/>
      <c r="L17"/>
      <c r="M17"/>
    </row>
    <row r="18" spans="1:13" ht="15.75" customHeight="1">
      <c r="A18" s="373">
        <v>6</v>
      </c>
      <c r="B18" s="384" t="str">
        <f>IF('Day 2'!HN41="","",'Day 2'!HN41)</f>
        <v/>
      </c>
      <c r="C18" s="374" t="str">
        <f>IF('Day 2'!$HW37="","",'Day 2'!$HW37)</f>
        <v/>
      </c>
      <c r="D18" s="374" t="str">
        <f>IF('Day 2'!$HW38="","",'Day 2'!$HW38)</f>
        <v/>
      </c>
      <c r="E18" s="374" t="str">
        <f>IF('Day 2'!$HW39="","",'Day 2'!$HW39)</f>
        <v/>
      </c>
      <c r="F18" s="374" t="str">
        <f>IF('Day 2'!$HW40="","",'Day 2'!$HW40)</f>
        <v/>
      </c>
      <c r="G18" s="374" t="str">
        <f>IF('Day 2'!$HW41="","",'Day 2'!$HW41)</f>
        <v/>
      </c>
      <c r="H18" s="375"/>
    </row>
    <row r="19" spans="1:13" ht="15.75">
      <c r="A19" s="373">
        <v>7</v>
      </c>
      <c r="B19" s="384" t="str">
        <f>IF('Day 2'!HN46="","",'Day 2'!HN46)</f>
        <v/>
      </c>
      <c r="C19" s="374" t="str">
        <f>IF('Day 2'!$HW42="","",'Day 2'!$HW42)</f>
        <v/>
      </c>
      <c r="D19" s="374" t="str">
        <f>IF('Day 2'!$HW43="","",'Day 2'!$HW43)</f>
        <v/>
      </c>
      <c r="E19" s="374" t="str">
        <f>IF('Day 2'!$HW44="","",'Day 2'!$HW44)</f>
        <v/>
      </c>
      <c r="F19" s="374" t="str">
        <f>IF('Day 2'!$HW45="","",'Day 2'!$HW45)</f>
        <v/>
      </c>
      <c r="G19" s="374" t="str">
        <f>IF('Day 2'!$HW46="","",'Day 2'!$HW46)</f>
        <v/>
      </c>
      <c r="H19" s="375"/>
    </row>
    <row r="20" spans="1:13" ht="16.5" thickBot="1">
      <c r="A20" s="376">
        <v>8</v>
      </c>
      <c r="B20" s="385" t="str">
        <f>IF('Day 2'!HN51="","",'Day 2'!HN51)</f>
        <v/>
      </c>
      <c r="C20" s="377" t="str">
        <f>IF('Day 2'!$HW47="","",'Day 2'!$HW47)</f>
        <v/>
      </c>
      <c r="D20" s="377" t="str">
        <f>IF('Day 2'!$HW48="","",'Day 2'!$HW48)</f>
        <v/>
      </c>
      <c r="E20" s="377" t="str">
        <f>IF('Day 2'!$HW49="","",'Day 2'!$HW49)</f>
        <v/>
      </c>
      <c r="F20" s="377" t="str">
        <f>IF('Day 2'!$HW50="","",'Day 2'!$HW50)</f>
        <v/>
      </c>
      <c r="G20" s="377" t="str">
        <f>IF('Day 2'!$HW51="","",'Day 2'!$HW51)</f>
        <v/>
      </c>
      <c r="H20" s="378"/>
    </row>
    <row r="21" spans="1:13" s="13" customFormat="1" ht="13.9" customHeight="1" thickBot="1">
      <c r="A21" s="1268" t="s">
        <v>69</v>
      </c>
      <c r="B21" s="1268"/>
      <c r="C21" s="1268"/>
      <c r="D21" s="1268"/>
      <c r="E21" s="1268"/>
      <c r="F21" s="1268"/>
      <c r="G21" s="1268"/>
      <c r="H21" s="1268"/>
    </row>
    <row r="22" spans="1:13" ht="15.75">
      <c r="A22" s="370">
        <v>9</v>
      </c>
      <c r="B22" s="383" t="str">
        <f>IF('Day 2'!HX16="","",'Day 2'!HX16)</f>
        <v/>
      </c>
      <c r="C22" s="371" t="str">
        <f>IF('Day 2'!$IG12="","",'Day 2'!$IG12)</f>
        <v/>
      </c>
      <c r="D22" s="371" t="str">
        <f>IF('Day 2'!$IG13="","",'Day 2'!$IG13)</f>
        <v/>
      </c>
      <c r="E22" s="371" t="str">
        <f>IF('Day 2'!$IG14="","",'Day 2'!$IG14)</f>
        <v/>
      </c>
      <c r="F22" s="371" t="str">
        <f>IF('Day 2'!$IG15="","",'Day 2'!$IG15)</f>
        <v/>
      </c>
      <c r="G22" s="371" t="str">
        <f>IF('Day 2'!$IG16="","",'Day 2'!$IG16)</f>
        <v/>
      </c>
      <c r="H22" s="372"/>
      <c r="J22" s="1269" t="s">
        <v>136</v>
      </c>
      <c r="K22"/>
      <c r="L22"/>
      <c r="M22"/>
    </row>
    <row r="23" spans="1:13" ht="15.75">
      <c r="A23" s="373">
        <v>10</v>
      </c>
      <c r="B23" s="384" t="str">
        <f>IF('Day 2'!HX21="","",'Day 2'!HX21)</f>
        <v/>
      </c>
      <c r="C23" s="374" t="str">
        <f>IF('Day 2'!$IG17="","",'Day 2'!$IG17)</f>
        <v/>
      </c>
      <c r="D23" s="374" t="str">
        <f>IF('Day 2'!$IG18="","",'Day 2'!$IG18)</f>
        <v/>
      </c>
      <c r="E23" s="374" t="str">
        <f>IF('Day 2'!$IG19="","",'Day 2'!$IG19)</f>
        <v/>
      </c>
      <c r="F23" s="374" t="str">
        <f>IF('Day 2'!$IG20="","",'Day 2'!$IG20)</f>
        <v/>
      </c>
      <c r="G23" s="374" t="str">
        <f>IF('Day 2'!$IG21="","",'Day 2'!$IG21)</f>
        <v/>
      </c>
      <c r="H23" s="375"/>
      <c r="J23" s="1270"/>
      <c r="K23"/>
      <c r="L23"/>
      <c r="M23"/>
    </row>
    <row r="24" spans="1:13" ht="16.5" thickBot="1">
      <c r="A24" s="373">
        <v>11</v>
      </c>
      <c r="B24" s="384" t="str">
        <f>IF('Day 2'!HX26="","",'Day 2'!HX26)</f>
        <v/>
      </c>
      <c r="C24" s="374" t="str">
        <f>IF('Day 2'!$IG22="","",'Day 2'!$IG22)</f>
        <v/>
      </c>
      <c r="D24" s="374" t="str">
        <f>IF('Day 2'!$IG23="","",'Day 2'!$IG23)</f>
        <v/>
      </c>
      <c r="E24" s="374" t="str">
        <f>IF('Day 2'!$IG24="","",'Day 2'!$IG24)</f>
        <v/>
      </c>
      <c r="F24" s="374" t="str">
        <f>IF('Day 2'!$IG25="","",'Day 2'!$IG25)</f>
        <v/>
      </c>
      <c r="G24" s="374" t="str">
        <f>IF('Day 2'!$IG26="","",'Day 2'!$IG26)</f>
        <v/>
      </c>
      <c r="H24" s="375"/>
      <c r="J24" s="1271"/>
      <c r="K24"/>
      <c r="L24"/>
      <c r="M24"/>
    </row>
    <row r="25" spans="1:13" ht="16.5" thickBot="1">
      <c r="A25" s="376">
        <v>12</v>
      </c>
      <c r="B25" s="385" t="str">
        <f>IF('Day 2'!HX31="","",'Day 2'!HX31)</f>
        <v/>
      </c>
      <c r="C25" s="377" t="str">
        <f>IF('Day 2'!$IG27="","",'Day 2'!$IG27)</f>
        <v/>
      </c>
      <c r="D25" s="377" t="str">
        <f>IF('Day 2'!$IG28="","",'Day 2'!$IG28)</f>
        <v/>
      </c>
      <c r="E25" s="377" t="str">
        <f>IF('Day 2'!$IG29="","",'Day 2'!$IG29)</f>
        <v/>
      </c>
      <c r="F25" s="377" t="str">
        <f>IF('Day 2'!$IG30="","",'Day 2'!$IG30)</f>
        <v/>
      </c>
      <c r="G25" s="377" t="str">
        <f>IF('Day 2'!$IG31="","",'Day 2'!$IG31)</f>
        <v/>
      </c>
      <c r="H25" s="378"/>
    </row>
    <row r="26" spans="1:13" s="13" customFormat="1" ht="13.5" thickBot="1">
      <c r="A26" s="1268" t="s">
        <v>94</v>
      </c>
      <c r="B26" s="1268"/>
      <c r="C26" s="1268"/>
      <c r="D26" s="1268"/>
      <c r="E26" s="1268"/>
      <c r="F26" s="1268"/>
      <c r="G26" s="1268"/>
      <c r="H26" s="1268"/>
    </row>
    <row r="27" spans="1:13" ht="15.75">
      <c r="A27" s="370">
        <v>13</v>
      </c>
      <c r="B27" s="383" t="str">
        <f>IF('Day 2'!HX36="","",'Day 2'!HX36)</f>
        <v/>
      </c>
      <c r="C27" s="371" t="str">
        <f>IF('Day 2'!$IG32="","",'Day 2'!$IG32)</f>
        <v/>
      </c>
      <c r="D27" s="371" t="str">
        <f>IF('Day 2'!$IG33="","",'Day 2'!$IG33)</f>
        <v/>
      </c>
      <c r="E27" s="371" t="str">
        <f>IF('Day 2'!$IG34="","",'Day 2'!$IG34)</f>
        <v/>
      </c>
      <c r="F27" s="371" t="str">
        <f>IF('Day 2'!$IG35="","",'Day 2'!$IG35)</f>
        <v/>
      </c>
      <c r="G27" s="371" t="str">
        <f>IF('Day 2'!$IG36="","",'Day 2'!$IG36)</f>
        <v/>
      </c>
      <c r="H27" s="372"/>
    </row>
    <row r="28" spans="1:13" ht="15.75">
      <c r="A28" s="373">
        <v>14</v>
      </c>
      <c r="B28" s="384" t="str">
        <f>IF('Day 2'!HX41="","",'Day 2'!HX41)</f>
        <v/>
      </c>
      <c r="C28" s="374" t="str">
        <f>IF('Day 2'!$IG37="","",'Day 2'!$IG37)</f>
        <v/>
      </c>
      <c r="D28" s="374" t="str">
        <f>IF('Day 2'!$IG38="","",'Day 2'!$IG38)</f>
        <v/>
      </c>
      <c r="E28" s="374" t="str">
        <f>IF('Day 2'!$IG39="","",'Day 2'!$IG39)</f>
        <v/>
      </c>
      <c r="F28" s="374" t="str">
        <f>IF('Day 2'!$IG40="","",'Day 2'!$IG40)</f>
        <v/>
      </c>
      <c r="G28" s="374" t="str">
        <f>IF('Day 2'!$IG41="","",'Day 2'!$IG41)</f>
        <v/>
      </c>
      <c r="H28" s="375" t="s">
        <v>383</v>
      </c>
    </row>
    <row r="29" spans="1:13" ht="15.75">
      <c r="A29" s="373">
        <v>15</v>
      </c>
      <c r="B29" s="384" t="str">
        <f>IF('Day 2'!HX46="","",'Day 2'!HX46)</f>
        <v/>
      </c>
      <c r="C29" s="374" t="str">
        <f>IF('Day 2'!$IG42="","",'Day 2'!$IG42)</f>
        <v/>
      </c>
      <c r="D29" s="374" t="str">
        <f>IF('Day 2'!$IG43="","",'Day 2'!$IG43)</f>
        <v/>
      </c>
      <c r="E29" s="374" t="str">
        <f>IF('Day 2'!$IG44="","",'Day 2'!$IG44)</f>
        <v/>
      </c>
      <c r="F29" s="374" t="str">
        <f>IF('Day 2'!$IG45="","",'Day 2'!$IG45)</f>
        <v/>
      </c>
      <c r="G29" s="374" t="str">
        <f>IF('Day 2'!$IG46="","",'Day 2'!$IG46)</f>
        <v/>
      </c>
      <c r="H29" s="375"/>
    </row>
    <row r="30" spans="1:13" ht="16.5" thickBot="1">
      <c r="A30" s="376">
        <v>16</v>
      </c>
      <c r="B30" s="385" t="str">
        <f>IF('Day 2'!HX51="","",'Day 2'!HX51)</f>
        <v/>
      </c>
      <c r="C30" s="377" t="str">
        <f>IF('Day 2'!$IG47="","",'Day 2'!$IG47)</f>
        <v/>
      </c>
      <c r="D30" s="377" t="str">
        <f>IF('Day 2'!$IG48="","",'Day 2'!$IG48)</f>
        <v/>
      </c>
      <c r="E30" s="377" t="str">
        <f>IF('Day 2'!$IG49="","",'Day 2'!$IG49)</f>
        <v/>
      </c>
      <c r="F30" s="377" t="str">
        <f>IF('Day 2'!$IG50="","",'Day 2'!$IG50)</f>
        <v/>
      </c>
      <c r="G30" s="377" t="str">
        <f>IF('Day 2'!$IG51="","",'Day 2'!$IG51)</f>
        <v/>
      </c>
      <c r="H30" s="378"/>
    </row>
    <row r="31" spans="1:13" s="13" customFormat="1" ht="13.5" thickBot="1">
      <c r="A31" s="1268" t="s">
        <v>69</v>
      </c>
      <c r="B31" s="1268"/>
      <c r="C31" s="1268"/>
      <c r="D31" s="1268"/>
      <c r="E31" s="1268"/>
      <c r="F31" s="1268"/>
      <c r="G31" s="1268"/>
      <c r="H31" s="1268"/>
    </row>
    <row r="32" spans="1:13" ht="15.75">
      <c r="A32" s="370">
        <v>17</v>
      </c>
      <c r="B32" s="383" t="str">
        <f>IF('Day 2'!IH16="","",'Day 2'!IH16)</f>
        <v/>
      </c>
      <c r="C32" s="371" t="str">
        <f>IF('Day 2'!$IQ12="","",'Day 2'!$IQ12)</f>
        <v/>
      </c>
      <c r="D32" s="371" t="str">
        <f>IF('Day 2'!$IQ13="","",'Day 2'!$IQ13)</f>
        <v/>
      </c>
      <c r="E32" s="371" t="str">
        <f>IF('Day 2'!$IQ14="","",'Day 2'!$IQ14)</f>
        <v/>
      </c>
      <c r="F32" s="371" t="str">
        <f>IF('Day 2'!$IQ15="","",'Day 2'!$IQ15)</f>
        <v/>
      </c>
      <c r="G32" s="371" t="str">
        <f>IF('Day 2'!$IQ16="","",'Day 2'!$IQ16)</f>
        <v/>
      </c>
      <c r="H32" s="372"/>
    </row>
    <row r="33" spans="1:8" ht="15.75">
      <c r="A33" s="373">
        <v>18</v>
      </c>
      <c r="B33" s="384" t="str">
        <f>IF('Day 2'!IH21="","",'Day 2'!IH21)</f>
        <v/>
      </c>
      <c r="C33" s="374" t="str">
        <f>IF('Day 2'!$IQ17="","",'Day 2'!$IQ17)</f>
        <v/>
      </c>
      <c r="D33" s="374" t="str">
        <f>IF('Day 2'!$IQ18="","",'Day 2'!$IQ18)</f>
        <v/>
      </c>
      <c r="E33" s="374" t="str">
        <f>IF('Day 2'!$IQ19="","",'Day 2'!$IQ19)</f>
        <v/>
      </c>
      <c r="F33" s="374" t="str">
        <f>IF('Day 2'!$IQ20="","",'Day 2'!$IQ20)</f>
        <v/>
      </c>
      <c r="G33" s="374" t="str">
        <f>IF('Day 2'!$IQ21="","",'Day 2'!$IQ21)</f>
        <v/>
      </c>
      <c r="H33" s="375"/>
    </row>
    <row r="34" spans="1:8" ht="15.75">
      <c r="A34" s="373">
        <v>19</v>
      </c>
      <c r="B34" s="384" t="str">
        <f>IF('Day 2'!IH26="","",'Day 2'!IH26)</f>
        <v/>
      </c>
      <c r="C34" s="374" t="str">
        <f>IF('Day 2'!$IQ22="","",'Day 2'!$IQ22)</f>
        <v/>
      </c>
      <c r="D34" s="374" t="str">
        <f>IF('Day 2'!$IQ23="","",'Day 2'!$IQ23)</f>
        <v/>
      </c>
      <c r="E34" s="374" t="str">
        <f>IF('Day 2'!$IQ24="","",'Day 2'!$IQ24)</f>
        <v/>
      </c>
      <c r="F34" s="374" t="str">
        <f>IF('Day 2'!$IQ25="","",'Day 2'!$IQ25)</f>
        <v/>
      </c>
      <c r="G34" s="374" t="str">
        <f>IF('Day 2'!$IQ26="","",'Day 2'!$IQ26)</f>
        <v/>
      </c>
      <c r="H34" s="375"/>
    </row>
    <row r="35" spans="1:8" ht="16.5" thickBot="1">
      <c r="A35" s="376">
        <v>20</v>
      </c>
      <c r="B35" s="385" t="str">
        <f>IF('Day 2'!IH31="","",'Day 2'!IH31)</f>
        <v/>
      </c>
      <c r="C35" s="377" t="str">
        <f>IF('Day 2'!$IQ27="","",'Day 2'!$IQ27)</f>
        <v/>
      </c>
      <c r="D35" s="377" t="str">
        <f>IF('Day 2'!$IQ28="","",'Day 2'!$IQ28)</f>
        <v/>
      </c>
      <c r="E35" s="377" t="str">
        <f>IF('Day 2'!$IQ29="","",'Day 2'!$IQ29)</f>
        <v/>
      </c>
      <c r="F35" s="377" t="str">
        <f>IF('Day 2'!$IQ30="","",'Day 2'!$IQ30)</f>
        <v/>
      </c>
      <c r="G35" s="377" t="str">
        <f>IF('Day 2'!$IQ31="","",'Day 2'!$IQ31)</f>
        <v/>
      </c>
      <c r="H35" s="378"/>
    </row>
    <row r="36" spans="1:8" s="13" customFormat="1" ht="13.5" thickBot="1">
      <c r="A36" s="1268" t="s">
        <v>95</v>
      </c>
      <c r="B36" s="1268"/>
      <c r="C36" s="1268"/>
      <c r="D36" s="1268"/>
      <c r="E36" s="1268"/>
      <c r="F36" s="1268"/>
      <c r="G36" s="1268"/>
      <c r="H36" s="1268"/>
    </row>
    <row r="37" spans="1:8" ht="16.5" thickBot="1">
      <c r="A37" s="379" t="s">
        <v>92</v>
      </c>
      <c r="B37" s="382" t="str">
        <f>IF('Day 2'!IH41="","",'Day 2'!IH41)</f>
        <v/>
      </c>
      <c r="C37" s="380" t="str">
        <f>IF('Day 2'!$IQ37="","",'Day 2'!$IQ37)</f>
        <v/>
      </c>
      <c r="D37" s="380" t="str">
        <f>IF('Day 2'!$IQ38="","",'Day 2'!$IQ38)</f>
        <v/>
      </c>
      <c r="E37" s="380" t="str">
        <f>IF('Day 2'!$IQ39="","",'Day 2'!$IQ39)</f>
        <v/>
      </c>
      <c r="F37" s="380" t="str">
        <f>IF('Day 2'!$IQ40="","",'Day 2'!$IQ40)</f>
        <v/>
      </c>
      <c r="G37" s="380" t="str">
        <f>IF('Day 2'!$IQ41="","",'Day 2'!$IQ41)</f>
        <v/>
      </c>
      <c r="H37" s="381"/>
    </row>
    <row r="38" spans="1:8" s="13" customFormat="1" ht="13.5" thickBot="1">
      <c r="A38" s="1268" t="s">
        <v>95</v>
      </c>
      <c r="B38" s="1268"/>
      <c r="C38" s="1268"/>
      <c r="D38" s="1268"/>
      <c r="E38" s="1268"/>
      <c r="F38" s="1268"/>
      <c r="G38" s="1268"/>
      <c r="H38" s="1268"/>
    </row>
    <row r="39" spans="1:8" ht="16.5" thickBot="1">
      <c r="A39" s="379" t="s">
        <v>93</v>
      </c>
      <c r="B39" s="382" t="str">
        <f>IF('Day 2'!IH46="","",'Day 2'!IH46)</f>
        <v/>
      </c>
      <c r="C39" s="380" t="str">
        <f>IF('Day 2'!$IQ42="","",'Day 2'!$IQ42)</f>
        <v/>
      </c>
      <c r="D39" s="380" t="str">
        <f>IF('Day 2'!$IQ43="","",'Day 2'!$IQ43)</f>
        <v/>
      </c>
      <c r="E39" s="380" t="str">
        <f>IF('Day 2'!$IQ44="","",'Day 2'!$IQ44)</f>
        <v/>
      </c>
      <c r="F39" s="380" t="str">
        <f>IF('Day 2'!$IQ45="","",'Day 2'!$IQ45)</f>
        <v/>
      </c>
      <c r="G39" s="380" t="str">
        <f>IF('Day 2'!$IQ46="","",'Day 2'!$IQ46)</f>
        <v/>
      </c>
      <c r="H39" s="381"/>
    </row>
    <row r="40" spans="1:8" s="13" customFormat="1" ht="13.5" thickBot="1">
      <c r="A40" s="1268" t="s">
        <v>95</v>
      </c>
      <c r="B40" s="1268"/>
      <c r="C40" s="1268"/>
      <c r="D40" s="1268"/>
      <c r="E40" s="1268"/>
      <c r="F40" s="1268"/>
      <c r="G40" s="1268"/>
      <c r="H40" s="1268"/>
    </row>
    <row r="41" spans="1:8" ht="16.5" thickBot="1">
      <c r="A41" s="379" t="s">
        <v>63</v>
      </c>
      <c r="B41" s="382" t="str">
        <f>IF('Day 2'!IH51="","",'Day 2'!IH51)</f>
        <v/>
      </c>
      <c r="C41" s="380" t="str">
        <f>IF('Day 2'!$IQ47="","",'Day 2'!$IQ47)</f>
        <v/>
      </c>
      <c r="D41" s="380" t="str">
        <f>IF('Day 2'!$IQ48="","",'Day 2'!$IQ48)</f>
        <v/>
      </c>
      <c r="E41" s="380" t="str">
        <f>IF('Day 2'!$IQ49="","",'Day 2'!$IQ49)</f>
        <v/>
      </c>
      <c r="F41" s="380" t="str">
        <f>IF('Day 2'!$IQ50="","",'Day 2'!$IQ50)</f>
        <v/>
      </c>
      <c r="G41" s="380" t="str">
        <f>IF('Day 2'!$IQ51="","",'Day 2'!$IQ51)</f>
        <v/>
      </c>
      <c r="H41" s="381"/>
    </row>
    <row r="42" spans="1:8" ht="15.75" thickBot="1">
      <c r="A42" s="471"/>
      <c r="B42" s="549"/>
      <c r="C42" s="471"/>
      <c r="D42" s="471"/>
      <c r="E42" s="471"/>
      <c r="F42" s="471"/>
      <c r="G42" s="471"/>
      <c r="H42" s="471"/>
    </row>
    <row r="43" spans="1:8" ht="15.75">
      <c r="A43" s="1280" t="s">
        <v>317</v>
      </c>
      <c r="B43" s="1281"/>
      <c r="C43" s="931" t="s">
        <v>318</v>
      </c>
      <c r="D43" s="932"/>
      <c r="E43" s="933" t="s">
        <v>322</v>
      </c>
      <c r="F43" s="934"/>
      <c r="G43" s="935" t="s">
        <v>319</v>
      </c>
    </row>
    <row r="44" spans="1:8" ht="15.75">
      <c r="A44" s="1282"/>
      <c r="B44" s="1283"/>
      <c r="C44" s="936"/>
      <c r="D44" s="937"/>
      <c r="E44" s="938"/>
      <c r="F44" s="939"/>
      <c r="G44" s="940"/>
    </row>
    <row r="45" spans="1:8" ht="16.5" thickBot="1">
      <c r="A45" s="1284"/>
      <c r="B45" s="1285"/>
      <c r="C45" s="941" t="s">
        <v>320</v>
      </c>
      <c r="D45" s="942"/>
      <c r="E45" s="943" t="s">
        <v>316</v>
      </c>
      <c r="F45" s="944"/>
      <c r="G45" s="945" t="s">
        <v>321</v>
      </c>
    </row>
    <row r="46" spans="1:8">
      <c r="B46" s="387"/>
    </row>
    <row r="47" spans="1:8" ht="18">
      <c r="A47" s="1288" t="s">
        <v>128</v>
      </c>
      <c r="B47" s="1287"/>
      <c r="C47" s="1287"/>
      <c r="D47" s="1287"/>
      <c r="E47" s="1287"/>
      <c r="F47" s="1287"/>
      <c r="G47" s="1287"/>
      <c r="H47" s="1287"/>
    </row>
    <row r="48" spans="1:8">
      <c r="A48" s="1286" t="s">
        <v>134</v>
      </c>
      <c r="B48" s="1287"/>
      <c r="C48" s="1287"/>
      <c r="D48" s="1287"/>
      <c r="E48" s="1287"/>
      <c r="F48" s="1287"/>
      <c r="G48" s="1287"/>
      <c r="H48" s="1287"/>
    </row>
  </sheetData>
  <sheetProtection password="E041" sheet="1" objects="1" scenarios="1" formatCells="0" formatColumns="0" formatRows="0"/>
  <mergeCells count="16">
    <mergeCell ref="A43:B45"/>
    <mergeCell ref="A47:H47"/>
    <mergeCell ref="A48:H48"/>
    <mergeCell ref="J22:J24"/>
    <mergeCell ref="A26:H26"/>
    <mergeCell ref="A31:H31"/>
    <mergeCell ref="A36:H36"/>
    <mergeCell ref="A40:H40"/>
    <mergeCell ref="A38:H38"/>
    <mergeCell ref="J12:K15"/>
    <mergeCell ref="A21:H21"/>
    <mergeCell ref="A1:H1"/>
    <mergeCell ref="D5:E5"/>
    <mergeCell ref="D7:E7"/>
    <mergeCell ref="G11:H11"/>
    <mergeCell ref="A16:H16"/>
  </mergeCells>
  <printOptions horizontalCentered="1" verticalCentered="1"/>
  <pageMargins left="0.19685039370078741" right="0.19685039370078741" top="0.19685039370078741" bottom="0.19685039370078741" header="0.31496062992125984" footer="0.31496062992125984"/>
  <pageSetup paperSize="9" scale="78"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00FF"/>
    <pageSetUpPr fitToPage="1"/>
  </sheetPr>
  <dimension ref="A1:CS43"/>
  <sheetViews>
    <sheetView showGridLines="0" zoomScale="90" zoomScaleNormal="90" workbookViewId="0">
      <selection activeCell="L23" sqref="L23"/>
    </sheetView>
  </sheetViews>
  <sheetFormatPr defaultColWidth="8.85546875" defaultRowHeight="12.75"/>
  <cols>
    <col min="1" max="1" width="8.85546875" style="13"/>
    <col min="2" max="2" width="8" style="290" customWidth="1"/>
    <col min="3" max="3" width="5.28515625" style="290" hidden="1" customWidth="1"/>
    <col min="4" max="4" width="11.42578125" style="290" customWidth="1"/>
    <col min="5" max="5" width="36.140625" style="290" hidden="1" customWidth="1"/>
    <col min="6" max="6" width="31.28515625" style="290" bestFit="1" customWidth="1"/>
    <col min="7" max="7" width="14.7109375" style="290" bestFit="1" customWidth="1"/>
    <col min="8" max="8" width="10" style="316" bestFit="1" customWidth="1"/>
    <col min="9" max="9" width="9.28515625" style="290" customWidth="1"/>
    <col min="10" max="10" width="8.85546875" style="290"/>
    <col min="11" max="11" width="8" style="290" customWidth="1"/>
    <col min="12" max="12" width="4.140625" style="290" customWidth="1"/>
    <col min="13" max="13" width="32.85546875" style="290" customWidth="1"/>
    <col min="14" max="14" width="1.7109375" style="290" customWidth="1"/>
    <col min="15" max="15" width="3" style="290" customWidth="1"/>
    <col min="16" max="16" width="18.85546875" style="290" bestFit="1" customWidth="1"/>
    <col min="17" max="97" width="8.85546875" style="290"/>
    <col min="98" max="16384" width="8.85546875" style="13"/>
  </cols>
  <sheetData>
    <row r="1" spans="1:97" ht="27.75">
      <c r="A1" s="1338" t="str">
        <f>'Day 1 Details'!A1</f>
        <v>MOTUL FIM Ice Speedway Gladiators World Championship. 2015</v>
      </c>
      <c r="B1" s="1338"/>
      <c r="C1" s="1338"/>
      <c r="D1" s="1338"/>
      <c r="E1" s="1338"/>
      <c r="F1" s="1338"/>
      <c r="G1" s="1338"/>
      <c r="H1" s="1338"/>
      <c r="I1" s="1338"/>
      <c r="J1" s="1338"/>
      <c r="K1" s="1240" t="s">
        <v>132</v>
      </c>
      <c r="L1" s="1240"/>
      <c r="M1" s="1240"/>
      <c r="N1" s="345"/>
      <c r="O1" s="345"/>
      <c r="P1" s="345"/>
      <c r="Q1" s="345"/>
      <c r="R1" s="345"/>
      <c r="S1" s="345"/>
      <c r="T1" s="345"/>
      <c r="U1" s="345"/>
      <c r="V1" s="345"/>
      <c r="W1" s="345"/>
      <c r="X1" s="345"/>
      <c r="Y1" s="345"/>
      <c r="Z1" s="345"/>
      <c r="AA1" s="345"/>
      <c r="AB1" s="345"/>
      <c r="AC1" s="345"/>
      <c r="AD1" s="345"/>
      <c r="AE1" s="345"/>
      <c r="AF1" s="345"/>
      <c r="AG1" s="13"/>
      <c r="AH1" s="13"/>
      <c r="AI1" s="13"/>
      <c r="AJ1" s="13"/>
      <c r="AK1" s="13"/>
      <c r="AL1" s="13"/>
      <c r="AM1" s="13"/>
      <c r="AN1" s="13"/>
      <c r="AO1" s="13"/>
      <c r="AP1" s="13"/>
      <c r="AQ1" s="13"/>
      <c r="AR1" s="13"/>
      <c r="AS1" s="13"/>
      <c r="AT1" s="13"/>
      <c r="AU1" s="13"/>
      <c r="AV1" s="13"/>
      <c r="AW1" s="13"/>
      <c r="AX1" s="13"/>
      <c r="AY1" s="13"/>
      <c r="AZ1" s="13"/>
      <c r="BA1" s="13"/>
      <c r="BB1" s="13"/>
      <c r="BC1" s="13"/>
      <c r="BD1" s="13"/>
      <c r="BE1" s="13"/>
      <c r="BF1" s="13"/>
      <c r="BG1" s="13"/>
      <c r="BH1" s="13"/>
      <c r="BI1" s="13"/>
      <c r="BJ1" s="13"/>
      <c r="BK1" s="13"/>
      <c r="BL1" s="13"/>
      <c r="BM1" s="13"/>
      <c r="BN1" s="13"/>
      <c r="BO1" s="13"/>
      <c r="BP1" s="13"/>
      <c r="BQ1" s="13"/>
      <c r="BR1" s="13"/>
      <c r="BS1" s="13"/>
      <c r="BT1" s="13"/>
      <c r="BU1" s="13"/>
      <c r="BV1" s="13"/>
      <c r="BW1" s="13"/>
      <c r="BX1" s="13"/>
      <c r="BY1" s="13"/>
      <c r="BZ1" s="13"/>
      <c r="CA1" s="13"/>
      <c r="CB1" s="13"/>
      <c r="CC1" s="13"/>
      <c r="CD1" s="13"/>
      <c r="CE1" s="13"/>
      <c r="CF1" s="13"/>
      <c r="CG1" s="13"/>
      <c r="CH1" s="13"/>
      <c r="CI1" s="13"/>
      <c r="CJ1" s="13"/>
      <c r="CK1" s="13"/>
      <c r="CL1" s="13"/>
      <c r="CM1" s="13"/>
      <c r="CN1" s="13"/>
      <c r="CO1" s="13"/>
      <c r="CP1" s="13"/>
      <c r="CQ1" s="13"/>
      <c r="CR1" s="13"/>
      <c r="CS1" s="13"/>
    </row>
    <row r="2" spans="1:97" ht="22.9" customHeight="1">
      <c r="A2" s="1295" t="str">
        <f>"IMN No. "&amp;Draw!T4&amp;".      "&amp;'Day 1 Details'!D3</f>
        <v>IMN No. 504/06.      Round 4 Assen, Netherlands.</v>
      </c>
      <c r="B2" s="1295"/>
      <c r="C2" s="1295"/>
      <c r="D2" s="1295"/>
      <c r="E2" s="1295"/>
      <c r="F2" s="1295"/>
      <c r="G2" s="1295"/>
      <c r="H2" s="1295"/>
      <c r="I2" s="1295"/>
      <c r="J2" s="1295"/>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c r="BJ2" s="13"/>
      <c r="BK2" s="13"/>
      <c r="BL2" s="13"/>
      <c r="BM2" s="13"/>
      <c r="BN2" s="13"/>
      <c r="BO2" s="13"/>
      <c r="BP2" s="13"/>
      <c r="BQ2" s="13"/>
      <c r="BR2" s="13"/>
      <c r="BS2" s="13"/>
      <c r="BT2" s="13"/>
      <c r="BU2" s="13"/>
      <c r="BV2" s="13"/>
      <c r="BW2" s="13"/>
      <c r="BX2" s="13"/>
      <c r="BY2" s="13"/>
      <c r="BZ2" s="13"/>
      <c r="CA2" s="13"/>
      <c r="CB2" s="13"/>
      <c r="CC2" s="13"/>
      <c r="CD2" s="13"/>
      <c r="CE2" s="13"/>
      <c r="CF2" s="13"/>
      <c r="CG2" s="13"/>
      <c r="CH2" s="13"/>
      <c r="CI2" s="13"/>
      <c r="CJ2" s="13"/>
      <c r="CK2" s="13"/>
      <c r="CL2" s="13"/>
      <c r="CM2" s="13"/>
      <c r="CN2" s="13"/>
      <c r="CO2" s="13"/>
      <c r="CP2" s="13"/>
      <c r="CQ2" s="13"/>
      <c r="CR2" s="13"/>
      <c r="CS2" s="13"/>
    </row>
    <row r="3" spans="1:97" ht="18.75" thickBot="1">
      <c r="B3" s="1292" t="str">
        <f>"Day 2, "&amp;Draw!T9</f>
        <v>Day 2, 8th March 2015</v>
      </c>
      <c r="C3" s="1292"/>
      <c r="D3" s="1292"/>
      <c r="E3" s="1292"/>
      <c r="F3" s="1292"/>
      <c r="G3" s="1292"/>
      <c r="H3" s="1292"/>
      <c r="I3" s="1292"/>
      <c r="AG3" s="13"/>
      <c r="AH3" s="13"/>
      <c r="AI3" s="13"/>
      <c r="AJ3" s="13"/>
      <c r="AK3" s="13"/>
      <c r="AL3" s="13"/>
      <c r="AM3" s="13"/>
      <c r="AN3" s="13"/>
      <c r="AO3" s="13"/>
      <c r="AP3" s="13"/>
      <c r="AQ3" s="13"/>
      <c r="AR3" s="13"/>
      <c r="AS3" s="13"/>
      <c r="AT3" s="13"/>
      <c r="AU3" s="13"/>
      <c r="AV3" s="13"/>
      <c r="AW3" s="13"/>
      <c r="AX3" s="13"/>
      <c r="AY3" s="13"/>
      <c r="AZ3" s="13"/>
      <c r="BA3" s="13"/>
      <c r="BB3" s="13"/>
      <c r="BC3" s="13"/>
      <c r="BD3" s="13"/>
      <c r="BE3" s="13"/>
      <c r="BF3" s="13"/>
      <c r="BG3" s="13"/>
      <c r="BH3" s="13"/>
      <c r="BI3" s="13"/>
      <c r="BJ3" s="13"/>
      <c r="BK3" s="13"/>
      <c r="BL3" s="13"/>
      <c r="BM3" s="13"/>
      <c r="BN3" s="13"/>
      <c r="BO3" s="13"/>
      <c r="BP3" s="13"/>
      <c r="BQ3" s="13"/>
      <c r="BR3" s="13"/>
      <c r="BS3" s="13"/>
      <c r="BT3" s="13"/>
      <c r="BU3" s="13"/>
      <c r="BV3" s="13"/>
      <c r="BW3" s="13"/>
      <c r="BX3" s="13"/>
      <c r="BY3" s="13"/>
      <c r="BZ3" s="13"/>
      <c r="CA3" s="13"/>
      <c r="CB3" s="13"/>
      <c r="CC3" s="13"/>
      <c r="CD3" s="13"/>
      <c r="CE3" s="13"/>
      <c r="CF3" s="13"/>
      <c r="CG3" s="13"/>
      <c r="CH3" s="13"/>
      <c r="CI3" s="13"/>
      <c r="CJ3" s="13"/>
      <c r="CK3" s="13"/>
      <c r="CL3" s="13"/>
      <c r="CM3" s="13"/>
      <c r="CN3" s="13"/>
      <c r="CO3" s="13"/>
      <c r="CP3" s="13"/>
      <c r="CQ3" s="13"/>
      <c r="CR3" s="13"/>
      <c r="CS3" s="13"/>
    </row>
    <row r="4" spans="1:97" ht="23.25">
      <c r="B4" s="1339" t="s">
        <v>77</v>
      </c>
      <c r="C4" s="1339"/>
      <c r="D4" s="1339"/>
      <c r="E4" s="1339"/>
      <c r="F4" s="1339"/>
      <c r="G4" s="1339"/>
      <c r="H4" s="1339"/>
      <c r="I4" s="1339"/>
      <c r="K4" s="1297" t="s">
        <v>129</v>
      </c>
      <c r="L4" s="1298"/>
      <c r="M4" s="1299"/>
      <c r="AG4" s="13"/>
      <c r="AH4" s="13"/>
      <c r="AI4" s="13"/>
      <c r="AJ4" s="13"/>
      <c r="AK4" s="13"/>
      <c r="AL4" s="13"/>
      <c r="AM4" s="13"/>
      <c r="AN4" s="13"/>
      <c r="AO4" s="13"/>
      <c r="AP4" s="13"/>
      <c r="AQ4" s="13"/>
      <c r="AR4" s="13"/>
      <c r="AS4" s="13"/>
      <c r="AT4" s="13"/>
      <c r="AU4" s="13"/>
      <c r="AV4" s="13"/>
      <c r="AW4" s="13"/>
      <c r="AX4" s="13"/>
      <c r="AY4" s="13"/>
      <c r="AZ4" s="13"/>
      <c r="BA4" s="13"/>
      <c r="BB4" s="13"/>
      <c r="BC4" s="13"/>
      <c r="BD4" s="13"/>
      <c r="BE4" s="13"/>
      <c r="BF4" s="13"/>
      <c r="BG4" s="13"/>
      <c r="BH4" s="13"/>
      <c r="BI4" s="13"/>
      <c r="BJ4" s="13"/>
      <c r="BK4" s="13"/>
      <c r="BL4" s="13"/>
      <c r="BM4" s="13"/>
      <c r="BN4" s="13"/>
      <c r="BO4" s="13"/>
      <c r="BP4" s="13"/>
      <c r="BQ4" s="13"/>
      <c r="BR4" s="13"/>
      <c r="BS4" s="13"/>
      <c r="BT4" s="13"/>
      <c r="BU4" s="13"/>
      <c r="BV4" s="13"/>
      <c r="BW4" s="13"/>
      <c r="BX4" s="13"/>
      <c r="BY4" s="13"/>
      <c r="BZ4" s="13"/>
      <c r="CA4" s="13"/>
      <c r="CB4" s="13"/>
      <c r="CC4" s="13"/>
      <c r="CD4" s="13"/>
      <c r="CE4" s="13"/>
      <c r="CF4" s="13"/>
      <c r="CG4" s="13"/>
      <c r="CH4" s="13"/>
      <c r="CI4" s="13"/>
      <c r="CJ4" s="13"/>
      <c r="CK4" s="13"/>
      <c r="CL4" s="13"/>
      <c r="CM4" s="13"/>
      <c r="CN4" s="13"/>
      <c r="CO4" s="13"/>
      <c r="CP4" s="13"/>
      <c r="CQ4" s="13"/>
      <c r="CR4" s="13"/>
      <c r="CS4" s="13"/>
    </row>
    <row r="5" spans="1:97" ht="13.5" thickBot="1">
      <c r="K5" s="1300"/>
      <c r="L5" s="1301"/>
      <c r="M5" s="1302"/>
      <c r="AG5" s="13"/>
      <c r="AH5" s="13"/>
      <c r="AI5" s="13"/>
      <c r="AJ5" s="13"/>
      <c r="AK5" s="13"/>
      <c r="AL5" s="13"/>
      <c r="AM5" s="13"/>
      <c r="AN5" s="13"/>
      <c r="AO5" s="13"/>
      <c r="AP5" s="13"/>
      <c r="AQ5" s="13"/>
      <c r="AR5" s="13"/>
      <c r="AS5" s="13"/>
      <c r="AT5" s="13"/>
      <c r="AU5" s="13"/>
      <c r="AV5" s="13"/>
      <c r="AW5" s="13"/>
      <c r="AX5" s="13"/>
      <c r="AY5" s="13"/>
      <c r="AZ5" s="13"/>
      <c r="BA5" s="13"/>
      <c r="BB5" s="13"/>
      <c r="BC5" s="13"/>
      <c r="BD5" s="13"/>
      <c r="BE5" s="13"/>
      <c r="BF5" s="13"/>
      <c r="BG5" s="13"/>
      <c r="BH5" s="13"/>
      <c r="BI5" s="13"/>
      <c r="BJ5" s="13"/>
      <c r="BK5" s="13"/>
      <c r="BL5" s="13"/>
      <c r="BM5" s="13"/>
      <c r="BN5" s="13"/>
      <c r="BO5" s="13"/>
      <c r="BP5" s="13"/>
      <c r="BQ5" s="13"/>
      <c r="BR5" s="13"/>
      <c r="BS5" s="13"/>
      <c r="BT5" s="13"/>
      <c r="BU5" s="13"/>
      <c r="BV5" s="13"/>
      <c r="BW5" s="13"/>
      <c r="BX5" s="13"/>
      <c r="BY5" s="13"/>
      <c r="BZ5" s="13"/>
      <c r="CA5" s="13"/>
      <c r="CB5" s="13"/>
      <c r="CC5" s="13"/>
      <c r="CD5" s="13"/>
      <c r="CE5" s="13"/>
      <c r="CF5" s="13"/>
      <c r="CG5" s="13"/>
      <c r="CH5" s="13"/>
      <c r="CI5" s="13"/>
      <c r="CJ5" s="13"/>
      <c r="CK5" s="13"/>
      <c r="CL5" s="13"/>
      <c r="CM5" s="13"/>
      <c r="CN5" s="13"/>
      <c r="CO5" s="13"/>
      <c r="CP5" s="13"/>
      <c r="CQ5" s="13"/>
      <c r="CR5" s="13"/>
      <c r="CS5" s="13"/>
    </row>
    <row r="6" spans="1:97" ht="18.75" thickBot="1">
      <c r="B6" s="317" t="s">
        <v>96</v>
      </c>
      <c r="C6" s="318"/>
      <c r="D6" s="317" t="s">
        <v>253</v>
      </c>
      <c r="E6" s="318"/>
      <c r="F6" s="317" t="s">
        <v>66</v>
      </c>
      <c r="G6" s="317" t="s">
        <v>67</v>
      </c>
      <c r="H6" s="317" t="s">
        <v>97</v>
      </c>
      <c r="I6" s="317" t="s">
        <v>75</v>
      </c>
      <c r="K6" s="317" t="s">
        <v>96</v>
      </c>
      <c r="L6" s="950" t="s">
        <v>4</v>
      </c>
      <c r="M6" s="951" t="s">
        <v>66</v>
      </c>
      <c r="O6" s="1337" t="s">
        <v>325</v>
      </c>
      <c r="P6" s="1337"/>
      <c r="AG6" s="13"/>
      <c r="AH6" s="13"/>
      <c r="AI6" s="13"/>
      <c r="AJ6" s="13"/>
      <c r="AK6" s="13"/>
      <c r="AL6" s="13"/>
      <c r="AM6" s="13"/>
      <c r="AN6" s="13"/>
      <c r="AO6" s="13"/>
      <c r="AP6" s="13"/>
      <c r="AQ6" s="13"/>
      <c r="AR6" s="13"/>
      <c r="AS6" s="13"/>
      <c r="AT6" s="13"/>
      <c r="AU6" s="13"/>
      <c r="AV6" s="13"/>
      <c r="AW6" s="13"/>
      <c r="AX6" s="13"/>
      <c r="AY6" s="13"/>
      <c r="AZ6" s="13"/>
      <c r="BA6" s="13"/>
      <c r="BB6" s="13"/>
      <c r="BC6" s="13"/>
      <c r="BD6" s="13"/>
      <c r="BE6" s="13"/>
      <c r="BF6" s="13"/>
      <c r="BG6" s="13"/>
      <c r="BH6" s="13"/>
      <c r="BI6" s="13"/>
      <c r="BJ6" s="13"/>
      <c r="BK6" s="13"/>
      <c r="BL6" s="13"/>
      <c r="BM6" s="13"/>
      <c r="BN6" s="13"/>
      <c r="BO6" s="13"/>
      <c r="BP6" s="13"/>
      <c r="BQ6" s="13"/>
      <c r="BR6" s="13"/>
      <c r="BS6" s="13"/>
      <c r="BT6" s="13"/>
      <c r="BU6" s="13"/>
      <c r="BV6" s="13"/>
      <c r="BW6" s="13"/>
      <c r="BX6" s="13"/>
      <c r="BY6" s="13"/>
      <c r="BZ6" s="13"/>
      <c r="CA6" s="13"/>
      <c r="CB6" s="13"/>
      <c r="CC6" s="13"/>
      <c r="CD6" s="13"/>
      <c r="CE6" s="13"/>
      <c r="CF6" s="13"/>
      <c r="CG6" s="13"/>
      <c r="CH6" s="13"/>
      <c r="CI6" s="13"/>
      <c r="CJ6" s="13"/>
      <c r="CK6" s="13"/>
      <c r="CL6" s="13"/>
      <c r="CM6" s="13"/>
      <c r="CN6" s="13"/>
      <c r="CO6" s="13"/>
      <c r="CP6" s="13"/>
      <c r="CQ6" s="13"/>
      <c r="CR6" s="13"/>
      <c r="CS6" s="13"/>
    </row>
    <row r="7" spans="1:97" ht="18">
      <c r="B7" s="319" t="s">
        <v>186</v>
      </c>
      <c r="C7" s="403" t="e">
        <f>VLOOKUP(E7,#REF!,3,FALSE)</f>
        <v>#REF!</v>
      </c>
      <c r="D7" s="403" t="str">
        <f>IF('Day 2'!BD12="","",IF(L7&lt;&gt;"",L7,'Day 2'!BD12))</f>
        <v/>
      </c>
      <c r="E7" s="459" t="str">
        <f>IF('Day 2'!BE12="","",'Day 2'!BE12)</f>
        <v/>
      </c>
      <c r="F7" s="322" t="str">
        <f>IF('Day 2'!BE12="","",IF(M7&lt;&gt;"",M7,'Day 2'!BE12))</f>
        <v/>
      </c>
      <c r="G7" s="319" t="str">
        <f>IF(D7="","",VLOOKUP($F7,Draw!$B$3:$E$42,3,FALSE))</f>
        <v/>
      </c>
      <c r="H7" s="319" t="str">
        <f>IF(E7="","",VLOOKUP($F7,Draw!$B$3:$E$42,4,FALSE))</f>
        <v/>
      </c>
      <c r="I7" s="587" t="str">
        <f>IF(D7="","",VLOOKUP(F7,'Day 2'!BE$12:BF$29,2,FALSE))</f>
        <v/>
      </c>
      <c r="K7" s="319" t="s">
        <v>186</v>
      </c>
      <c r="L7" s="952"/>
      <c r="M7" s="459" t="str">
        <f t="shared" ref="M7:M22" si="0">IF(L7="","",VLOOKUP(L7,$O$7:$P$24,2,FALSE))</f>
        <v/>
      </c>
      <c r="N7" s="949"/>
      <c r="O7" s="958">
        <f>Draw!I24</f>
        <v>9</v>
      </c>
      <c r="P7" s="654" t="str">
        <f>Draw!H24</f>
        <v>Per-Anders Lindstrom</v>
      </c>
      <c r="AG7" s="13"/>
      <c r="AH7" s="13"/>
      <c r="AI7" s="13"/>
      <c r="AJ7" s="13"/>
      <c r="AK7" s="13"/>
      <c r="AL7" s="13"/>
      <c r="AM7" s="13"/>
      <c r="AN7" s="13"/>
      <c r="AO7" s="13"/>
      <c r="AP7" s="13"/>
      <c r="AQ7" s="13"/>
      <c r="AR7" s="13"/>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13"/>
      <c r="CG7" s="13"/>
      <c r="CH7" s="13"/>
      <c r="CI7" s="13"/>
      <c r="CJ7" s="13"/>
      <c r="CK7" s="13"/>
      <c r="CL7" s="13"/>
      <c r="CM7" s="13"/>
      <c r="CN7" s="13"/>
      <c r="CO7" s="13"/>
      <c r="CP7" s="13"/>
      <c r="CQ7" s="13"/>
      <c r="CR7" s="13"/>
      <c r="CS7" s="13"/>
    </row>
    <row r="8" spans="1:97" ht="18">
      <c r="B8" s="404" t="s">
        <v>169</v>
      </c>
      <c r="C8" s="404" t="e">
        <f>VLOOKUP(E8,#REF!,3,FALSE)</f>
        <v>#REF!</v>
      </c>
      <c r="D8" s="404" t="str">
        <f>IF('Day 2'!BD13="","",IF(L8&lt;&gt;"",L8,'Day 2'!BD13))</f>
        <v/>
      </c>
      <c r="E8" s="460" t="str">
        <f>IF('Day 2'!BE13="","",'Day 2'!BE13)</f>
        <v/>
      </c>
      <c r="F8" s="405" t="str">
        <f>IF('Day 2'!BE13="","",IF(M8&lt;&gt;"",M8,'Day 2'!BE13))</f>
        <v/>
      </c>
      <c r="G8" s="320" t="str">
        <f>IF(D8="","",VLOOKUP($F8,Draw!$B$3:$E$42,3,FALSE))</f>
        <v/>
      </c>
      <c r="H8" s="320" t="str">
        <f>IF(E8="","",VLOOKUP($F8,Draw!$B$3:$E$42,4,FALSE))</f>
        <v/>
      </c>
      <c r="I8" s="588" t="str">
        <f>IF(D8="","",VLOOKUP(F8,'Day 2'!BE$12:BF$29,2,FALSE))</f>
        <v/>
      </c>
      <c r="K8" s="404" t="s">
        <v>169</v>
      </c>
      <c r="L8" s="953"/>
      <c r="M8" s="460" t="str">
        <f t="shared" si="0"/>
        <v/>
      </c>
      <c r="N8" s="949"/>
      <c r="O8" s="958">
        <f>Draw!I25</f>
        <v>3</v>
      </c>
      <c r="P8" s="654" t="str">
        <f>Draw!H25</f>
        <v>Dimitry Khomitsevich</v>
      </c>
      <c r="AG8" s="13"/>
      <c r="AH8" s="13"/>
      <c r="AI8" s="13"/>
      <c r="AJ8" s="13"/>
      <c r="AK8" s="13"/>
      <c r="AL8" s="13"/>
      <c r="AM8" s="13"/>
      <c r="AN8" s="13"/>
      <c r="AO8" s="13"/>
      <c r="AP8" s="13"/>
      <c r="AQ8" s="13"/>
      <c r="AR8" s="13"/>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13"/>
      <c r="CG8" s="13"/>
      <c r="CH8" s="13"/>
      <c r="CI8" s="13"/>
      <c r="CJ8" s="13"/>
      <c r="CK8" s="13"/>
      <c r="CL8" s="13"/>
      <c r="CM8" s="13"/>
      <c r="CN8" s="13"/>
      <c r="CO8" s="13"/>
      <c r="CP8" s="13"/>
      <c r="CQ8" s="13"/>
      <c r="CR8" s="13"/>
      <c r="CS8" s="13"/>
    </row>
    <row r="9" spans="1:97" ht="18">
      <c r="B9" s="404" t="s">
        <v>170</v>
      </c>
      <c r="C9" s="404" t="e">
        <f>VLOOKUP(E9,#REF!,3,FALSE)</f>
        <v>#REF!</v>
      </c>
      <c r="D9" s="404" t="str">
        <f>IF('Day 2'!BD14="","",IF(L9&lt;&gt;"",L9,'Day 2'!BD14))</f>
        <v/>
      </c>
      <c r="E9" s="460" t="str">
        <f>IF('Day 2'!BE14="","",'Day 2'!BE14)</f>
        <v/>
      </c>
      <c r="F9" s="405" t="str">
        <f>IF('Day 2'!BE14="","",IF(M9&lt;&gt;"",M9,'Day 2'!BE14))</f>
        <v/>
      </c>
      <c r="G9" s="320" t="str">
        <f>IF(D9="","",VLOOKUP($F9,Draw!$B$3:$E$42,3,FALSE))</f>
        <v/>
      </c>
      <c r="H9" s="320" t="str">
        <f>IF(E9="","",VLOOKUP($F9,Draw!$B$3:$E$42,4,FALSE))</f>
        <v/>
      </c>
      <c r="I9" s="588" t="str">
        <f>IF(D9="","",VLOOKUP(F9,'Day 2'!BE$12:BF$29,2,FALSE))</f>
        <v/>
      </c>
      <c r="K9" s="404" t="s">
        <v>170</v>
      </c>
      <c r="L9" s="953"/>
      <c r="M9" s="460" t="str">
        <f t="shared" si="0"/>
        <v/>
      </c>
      <c r="N9" s="949"/>
      <c r="O9" s="958">
        <f>Draw!I26</f>
        <v>10</v>
      </c>
      <c r="P9" s="654" t="str">
        <f>Draw!H26</f>
        <v>Franz Zorn</v>
      </c>
      <c r="AG9" s="13"/>
      <c r="AH9" s="13"/>
      <c r="AI9" s="13"/>
      <c r="AJ9" s="13"/>
      <c r="AK9" s="13"/>
      <c r="AL9" s="13"/>
      <c r="AM9" s="13"/>
      <c r="AN9" s="13"/>
      <c r="AO9" s="13"/>
      <c r="AP9" s="13"/>
      <c r="AQ9" s="13"/>
      <c r="AR9" s="13"/>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row>
    <row r="10" spans="1:97" ht="18.75" thickBot="1">
      <c r="B10" s="406" t="s">
        <v>171</v>
      </c>
      <c r="C10" s="406" t="e">
        <f>VLOOKUP(E10,#REF!,3,FALSE)</f>
        <v>#REF!</v>
      </c>
      <c r="D10" s="406" t="str">
        <f>IF('Day 2'!BD15="","",IF(L10&lt;&gt;"",L10,'Day 2'!BD15))</f>
        <v/>
      </c>
      <c r="E10" s="461" t="str">
        <f>IF('Day 2'!BE15="","",'Day 2'!BE15)</f>
        <v/>
      </c>
      <c r="F10" s="407" t="str">
        <f>IF('Day 2'!BE15="","",IF(M10&lt;&gt;"",M10,'Day 2'!BE15))</f>
        <v/>
      </c>
      <c r="G10" s="321" t="str">
        <f>IF(D10="","",VLOOKUP($F10,Draw!$B$3:$E$42,3,FALSE))</f>
        <v/>
      </c>
      <c r="H10" s="321" t="str">
        <f>IF(E10="","",VLOOKUP($F10,Draw!$B$3:$E$42,4,FALSE))</f>
        <v/>
      </c>
      <c r="I10" s="589" t="str">
        <f>IF(D10="","",VLOOKUP(F10,'Day 2'!BE$12:BF$29,2,FALSE))</f>
        <v/>
      </c>
      <c r="K10" s="406" t="s">
        <v>171</v>
      </c>
      <c r="L10" s="954"/>
      <c r="M10" s="461" t="str">
        <f t="shared" si="0"/>
        <v/>
      </c>
      <c r="N10" s="949"/>
      <c r="O10" s="958">
        <f>Draw!I27</f>
        <v>6</v>
      </c>
      <c r="P10" s="654" t="str">
        <f>Draw!H27</f>
        <v>Jan Klatovsky</v>
      </c>
      <c r="AG10" s="13"/>
      <c r="AH10" s="13"/>
      <c r="AI10" s="13"/>
      <c r="AJ10" s="13"/>
      <c r="AK10" s="13"/>
      <c r="AL10" s="13"/>
      <c r="AM10" s="13"/>
      <c r="AN10" s="13"/>
      <c r="AO10" s="13"/>
      <c r="AP10" s="13"/>
      <c r="AQ10" s="13"/>
      <c r="AR10" s="13"/>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13"/>
      <c r="CG10" s="13"/>
      <c r="CH10" s="13"/>
      <c r="CI10" s="13"/>
      <c r="CJ10" s="13"/>
      <c r="CK10" s="13"/>
      <c r="CL10" s="13"/>
      <c r="CM10" s="13"/>
      <c r="CN10" s="13"/>
      <c r="CO10" s="13"/>
      <c r="CP10" s="13"/>
      <c r="CQ10" s="13"/>
      <c r="CR10" s="13"/>
      <c r="CS10" s="13"/>
    </row>
    <row r="11" spans="1:97" ht="18">
      <c r="B11" s="403" t="s">
        <v>172</v>
      </c>
      <c r="C11" s="408" t="e">
        <f>VLOOKUP(E11,#REF!,3,FALSE)</f>
        <v>#REF!</v>
      </c>
      <c r="D11" s="408" t="str">
        <f>IF('Day 2'!BD16="","",IF(L11&lt;&gt;"",L11,'Day 2'!BD16))</f>
        <v/>
      </c>
      <c r="E11" s="462" t="str">
        <f>IF('Day 2'!BE16="","",'Day 2'!BE16)</f>
        <v/>
      </c>
      <c r="F11" s="409" t="str">
        <f>IF('Day 2'!BE16="","",IF(M11&lt;&gt;"",M11,'Day 2'!BE16))</f>
        <v/>
      </c>
      <c r="G11" s="389" t="str">
        <f>IF(D11="","",VLOOKUP($F11,Draw!$B$3:$E$42,3,FALSE))</f>
        <v/>
      </c>
      <c r="H11" s="389" t="str">
        <f>IF(E11="","",VLOOKUP($F11,Draw!$B$3:$E$42,4,FALSE))</f>
        <v/>
      </c>
      <c r="I11" s="590" t="str">
        <f>IF(D11="","",VLOOKUP(F11,'Day 2'!BE$12:BF$29,2,FALSE))</f>
        <v/>
      </c>
      <c r="K11" s="403" t="s">
        <v>172</v>
      </c>
      <c r="L11" s="955"/>
      <c r="M11" s="462" t="str">
        <f t="shared" si="0"/>
        <v/>
      </c>
      <c r="N11" s="949"/>
      <c r="O11" s="958">
        <f>Draw!I28</f>
        <v>14</v>
      </c>
      <c r="P11" s="654" t="str">
        <f>Draw!H28</f>
        <v>Antonin Klatovsky</v>
      </c>
      <c r="AG11" s="13"/>
      <c r="AH11" s="13"/>
      <c r="AI11" s="13"/>
      <c r="AJ11" s="13"/>
      <c r="AK11" s="13"/>
      <c r="AL11" s="13"/>
      <c r="AM11" s="13"/>
      <c r="AN11" s="13"/>
      <c r="AO11" s="13"/>
      <c r="AP11" s="13"/>
      <c r="AQ11" s="13"/>
      <c r="AR11" s="13"/>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13"/>
      <c r="CG11" s="13"/>
      <c r="CH11" s="13"/>
      <c r="CI11" s="13"/>
      <c r="CJ11" s="13"/>
      <c r="CK11" s="13"/>
      <c r="CL11" s="13"/>
      <c r="CM11" s="13"/>
      <c r="CN11" s="13"/>
      <c r="CO11" s="13"/>
      <c r="CP11" s="13"/>
      <c r="CQ11" s="13"/>
      <c r="CR11" s="13"/>
      <c r="CS11" s="13"/>
    </row>
    <row r="12" spans="1:97" ht="18">
      <c r="B12" s="404" t="s">
        <v>173</v>
      </c>
      <c r="C12" s="404" t="e">
        <f>VLOOKUP(E12,#REF!,3,FALSE)</f>
        <v>#REF!</v>
      </c>
      <c r="D12" s="404" t="str">
        <f>IF('Day 2'!BD17="","",IF(L12&lt;&gt;"",L12,'Day 2'!BD17))</f>
        <v/>
      </c>
      <c r="E12" s="460" t="str">
        <f>IF('Day 2'!BE17="","",'Day 2'!BE17)</f>
        <v/>
      </c>
      <c r="F12" s="405" t="str">
        <f>IF('Day 2'!BE17="","",IF(M12&lt;&gt;"",M12,'Day 2'!BE17))</f>
        <v/>
      </c>
      <c r="G12" s="320" t="str">
        <f>IF(D12="","",VLOOKUP($F12,Draw!$B$3:$E$42,3,FALSE))</f>
        <v/>
      </c>
      <c r="H12" s="320" t="str">
        <f>IF(E12="","",VLOOKUP($F12,Draw!$B$3:$E$42,4,FALSE))</f>
        <v/>
      </c>
      <c r="I12" s="588" t="str">
        <f>IF(D12="","",VLOOKUP(F12,'Day 2'!BE$12:BF$29,2,FALSE))</f>
        <v/>
      </c>
      <c r="K12" s="404" t="s">
        <v>173</v>
      </c>
      <c r="L12" s="953"/>
      <c r="M12" s="460" t="str">
        <f t="shared" si="0"/>
        <v/>
      </c>
      <c r="N12" s="949"/>
      <c r="O12" s="958">
        <f>Draw!I29</f>
        <v>16</v>
      </c>
      <c r="P12" s="654" t="str">
        <f>Draw!H29</f>
        <v>Rene Stellingwerf</v>
      </c>
      <c r="AG12" s="13"/>
      <c r="AH12" s="13"/>
      <c r="AI12" s="13"/>
      <c r="AJ12" s="13"/>
      <c r="AK12" s="13"/>
      <c r="AL12" s="13"/>
      <c r="AM12" s="13"/>
      <c r="AN12" s="13"/>
      <c r="AO12" s="13"/>
      <c r="AP12" s="13"/>
      <c r="AQ12" s="13"/>
      <c r="AR12" s="13"/>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row>
    <row r="13" spans="1:97" ht="18">
      <c r="B13" s="404" t="s">
        <v>174</v>
      </c>
      <c r="C13" s="404" t="e">
        <f>VLOOKUP(E13,#REF!,3,FALSE)</f>
        <v>#REF!</v>
      </c>
      <c r="D13" s="404" t="str">
        <f>IF('Day 2'!BD18="","",IF(L13&lt;&gt;"",L13,'Day 2'!BD18))</f>
        <v/>
      </c>
      <c r="E13" s="460" t="str">
        <f>IF('Day 2'!BE18="","",'Day 2'!BE18)</f>
        <v/>
      </c>
      <c r="F13" s="405" t="str">
        <f>IF('Day 2'!BE18="","",IF(M13&lt;&gt;"",M13,'Day 2'!BE18))</f>
        <v/>
      </c>
      <c r="G13" s="320" t="str">
        <f>IF(D13="","",VLOOKUP($F13,Draw!$B$3:$E$42,3,FALSE))</f>
        <v/>
      </c>
      <c r="H13" s="320" t="str">
        <f>IF(E13="","",VLOOKUP($F13,Draw!$B$3:$E$42,4,FALSE))</f>
        <v/>
      </c>
      <c r="I13" s="588" t="str">
        <f>IF(D13="","",VLOOKUP(F13,'Day 2'!BE$12:BF$29,2,FALSE))</f>
        <v/>
      </c>
      <c r="K13" s="404" t="s">
        <v>174</v>
      </c>
      <c r="L13" s="953"/>
      <c r="M13" s="460" t="str">
        <f t="shared" si="0"/>
        <v/>
      </c>
      <c r="N13" s="949"/>
      <c r="O13" s="958">
        <f>Draw!I30</f>
        <v>4</v>
      </c>
      <c r="P13" s="654" t="str">
        <f>Draw!H30</f>
        <v>Igor Kononov</v>
      </c>
      <c r="AG13" s="13"/>
      <c r="AH13" s="13"/>
      <c r="AI13" s="13"/>
      <c r="AJ13" s="13"/>
      <c r="AK13" s="13"/>
      <c r="AL13" s="13"/>
      <c r="AM13" s="13"/>
      <c r="AN13" s="13"/>
      <c r="AO13" s="13"/>
      <c r="AP13" s="13"/>
      <c r="AQ13" s="13"/>
      <c r="AR13" s="13"/>
      <c r="AS13" s="13"/>
      <c r="AT13" s="13"/>
      <c r="AU13" s="13"/>
      <c r="AV13" s="13"/>
      <c r="AW13" s="13"/>
      <c r="AX13" s="13"/>
      <c r="AY13" s="13"/>
      <c r="AZ13" s="13"/>
      <c r="BA13" s="13"/>
      <c r="BB13" s="13"/>
      <c r="BC13" s="13"/>
      <c r="BD13" s="13"/>
      <c r="BE13" s="13"/>
      <c r="BF13" s="13"/>
      <c r="BG13" s="13"/>
      <c r="BH13" s="13"/>
      <c r="BI13" s="13"/>
      <c r="BJ13" s="13"/>
      <c r="BK13" s="13"/>
      <c r="BL13" s="13"/>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row>
    <row r="14" spans="1:97" ht="18">
      <c r="B14" s="404" t="s">
        <v>175</v>
      </c>
      <c r="C14" s="404" t="e">
        <f>VLOOKUP(E14,#REF!,3,FALSE)</f>
        <v>#REF!</v>
      </c>
      <c r="D14" s="404" t="str">
        <f>IF('Day 2'!BD19="","",IF(L14&lt;&gt;"",L14,'Day 2'!BD19))</f>
        <v/>
      </c>
      <c r="E14" s="460" t="str">
        <f>IF('Day 2'!BE19="","",'Day 2'!BE19)</f>
        <v/>
      </c>
      <c r="F14" s="405" t="str">
        <f>IF('Day 2'!BE19="","",IF(M14&lt;&gt;"",M14,'Day 2'!BE19))</f>
        <v/>
      </c>
      <c r="G14" s="320" t="str">
        <f>IF(D14="","",VLOOKUP($F14,Draw!$B$3:$E$42,3,FALSE))</f>
        <v/>
      </c>
      <c r="H14" s="320" t="str">
        <f>IF(E14="","",VLOOKUP($F14,Draw!$B$3:$E$42,4,FALSE))</f>
        <v/>
      </c>
      <c r="I14" s="588" t="str">
        <f>IF(D14="","",VLOOKUP(F14,'Day 2'!BE$12:BF$29,2,FALSE))</f>
        <v/>
      </c>
      <c r="K14" s="404" t="s">
        <v>175</v>
      </c>
      <c r="L14" s="953"/>
      <c r="M14" s="460" t="str">
        <f t="shared" si="0"/>
        <v/>
      </c>
      <c r="N14" s="949"/>
      <c r="O14" s="958">
        <f>Draw!I31</f>
        <v>7</v>
      </c>
      <c r="P14" s="654" t="str">
        <f>Draw!H31</f>
        <v>Gunter Bauer</v>
      </c>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row>
    <row r="15" spans="1:97" ht="18">
      <c r="B15" s="404" t="s">
        <v>176</v>
      </c>
      <c r="C15" s="404" t="e">
        <f>VLOOKUP(E15,#REF!,3,FALSE)</f>
        <v>#REF!</v>
      </c>
      <c r="D15" s="404" t="str">
        <f>IF('Day 2'!BD20="","",IF(L15&lt;&gt;"",L15,'Day 2'!BD20))</f>
        <v/>
      </c>
      <c r="E15" s="460" t="str">
        <f>IF('Day 2'!BE20="","",'Day 2'!BE20)</f>
        <v/>
      </c>
      <c r="F15" s="405" t="str">
        <f>IF('Day 2'!BE20="","",IF(M15&lt;&gt;"",M15,'Day 2'!BE20))</f>
        <v/>
      </c>
      <c r="G15" s="320" t="str">
        <f>IF(D15="","",VLOOKUP($F15,Draw!$B$3:$E$42,3,FALSE))</f>
        <v/>
      </c>
      <c r="H15" s="320" t="str">
        <f>IF(E15="","",VLOOKUP($F15,Draw!$B$3:$E$42,4,FALSE))</f>
        <v/>
      </c>
      <c r="I15" s="588" t="str">
        <f>IF(D15="","",VLOOKUP(F15,'Day 2'!BE$12:BF$29,2,FALSE))</f>
        <v/>
      </c>
      <c r="K15" s="404" t="s">
        <v>176</v>
      </c>
      <c r="L15" s="953"/>
      <c r="M15" s="460" t="str">
        <f t="shared" si="0"/>
        <v/>
      </c>
      <c r="N15" s="949"/>
      <c r="O15" s="958">
        <f>Draw!I32</f>
        <v>1</v>
      </c>
      <c r="P15" s="654" t="str">
        <f>Draw!H32</f>
        <v>Daniil Ivanov</v>
      </c>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row>
    <row r="16" spans="1:97" ht="18">
      <c r="B16" s="404" t="s">
        <v>177</v>
      </c>
      <c r="C16" s="404" t="e">
        <f>VLOOKUP(E16,#REF!,3,FALSE)</f>
        <v>#REF!</v>
      </c>
      <c r="D16" s="404" t="str">
        <f>IF('Day 2'!BD21="","",IF(L16&lt;&gt;"",L16,'Day 2'!BD21))</f>
        <v/>
      </c>
      <c r="E16" s="460" t="str">
        <f>IF('Day 2'!BE21="","",'Day 2'!BE21)</f>
        <v/>
      </c>
      <c r="F16" s="405" t="str">
        <f>IF('Day 2'!BE21="","",IF(M16&lt;&gt;"",M16,'Day 2'!BE21))</f>
        <v/>
      </c>
      <c r="G16" s="320" t="str">
        <f>IF(D16="","",VLOOKUP($F16,Draw!$B$3:$E$42,3,FALSE))</f>
        <v/>
      </c>
      <c r="H16" s="320" t="str">
        <f>IF(E16="","",VLOOKUP($F16,Draw!$B$3:$E$42,4,FALSE))</f>
        <v/>
      </c>
      <c r="I16" s="588" t="str">
        <f>IF(D16="","",VLOOKUP(F16,'Day 2'!BE$12:BF$29,2,FALSE))</f>
        <v/>
      </c>
      <c r="K16" s="404" t="s">
        <v>177</v>
      </c>
      <c r="L16" s="953"/>
      <c r="M16" s="460" t="str">
        <f t="shared" si="0"/>
        <v/>
      </c>
      <c r="N16" s="949"/>
      <c r="O16" s="958">
        <f>Draw!I33</f>
        <v>12</v>
      </c>
      <c r="P16" s="654" t="str">
        <f>Draw!H33</f>
        <v>Hans Weber</v>
      </c>
      <c r="AG16" s="13"/>
      <c r="AH16" s="13"/>
      <c r="AI16" s="13"/>
      <c r="AJ16" s="13"/>
      <c r="AK16" s="13"/>
      <c r="AL16" s="13"/>
      <c r="AM16" s="13"/>
      <c r="AN16" s="13"/>
      <c r="AO16" s="13"/>
      <c r="AP16" s="13"/>
      <c r="AQ16" s="13"/>
      <c r="AR16" s="13"/>
      <c r="AS16" s="13"/>
      <c r="AT16" s="13"/>
      <c r="AU16" s="13"/>
      <c r="AV16" s="13"/>
      <c r="AW16" s="13"/>
      <c r="AX16" s="13"/>
      <c r="AY16" s="13"/>
      <c r="AZ16" s="13"/>
      <c r="BA16" s="13"/>
      <c r="BB16" s="13"/>
      <c r="BC16" s="13"/>
      <c r="BD16" s="13"/>
      <c r="BE16" s="13"/>
      <c r="BF16" s="13"/>
      <c r="BG16" s="13"/>
      <c r="BH16" s="13"/>
      <c r="BI16" s="13"/>
      <c r="BJ16" s="13"/>
      <c r="BK16" s="13"/>
      <c r="BL16" s="13"/>
      <c r="BM16" s="13"/>
      <c r="BN16" s="13"/>
      <c r="BO16" s="13"/>
      <c r="BP16" s="13"/>
      <c r="BQ16" s="13"/>
      <c r="BR16" s="13"/>
      <c r="BS16" s="13"/>
      <c r="BT16" s="13"/>
      <c r="BU16" s="13"/>
      <c r="BV16" s="13"/>
      <c r="BW16" s="13"/>
      <c r="BX16" s="13"/>
      <c r="BY16" s="13"/>
      <c r="BZ16" s="13"/>
      <c r="CA16" s="13"/>
      <c r="CB16" s="13"/>
      <c r="CC16" s="13"/>
      <c r="CD16" s="13"/>
      <c r="CE16" s="13"/>
      <c r="CF16" s="13"/>
      <c r="CG16" s="13"/>
      <c r="CH16" s="13"/>
      <c r="CI16" s="13"/>
      <c r="CJ16" s="13"/>
      <c r="CK16" s="13"/>
      <c r="CL16" s="13"/>
      <c r="CM16" s="13"/>
      <c r="CN16" s="13"/>
      <c r="CO16" s="13"/>
      <c r="CP16" s="13"/>
      <c r="CQ16" s="13"/>
      <c r="CR16" s="13"/>
      <c r="CS16" s="13"/>
    </row>
    <row r="17" spans="2:97" ht="18">
      <c r="B17" s="404" t="s">
        <v>178</v>
      </c>
      <c r="C17" s="404" t="e">
        <f>VLOOKUP(E17,#REF!,3,FALSE)</f>
        <v>#REF!</v>
      </c>
      <c r="D17" s="404" t="str">
        <f>IF('Day 2'!BD22="","",IF(L17&lt;&gt;"",L17,'Day 2'!BD22))</f>
        <v/>
      </c>
      <c r="E17" s="460" t="str">
        <f>IF('Day 2'!BE22="","",'Day 2'!BE22)</f>
        <v/>
      </c>
      <c r="F17" s="405" t="str">
        <f>IF('Day 2'!BE22="","",IF(M17&lt;&gt;"",M17,'Day 2'!BE22))</f>
        <v/>
      </c>
      <c r="G17" s="320" t="str">
        <f>IF(D17="","",VLOOKUP($F17,Draw!$B$3:$E$42,3,FALSE))</f>
        <v/>
      </c>
      <c r="H17" s="320" t="str">
        <f>IF(E17="","",VLOOKUP($F17,Draw!$B$3:$E$42,4,FALSE))</f>
        <v/>
      </c>
      <c r="I17" s="588" t="str">
        <f>IF(D17="","",VLOOKUP(F17,'Day 2'!BE$12:BF$29,2,FALSE))</f>
        <v/>
      </c>
      <c r="J17" s="13"/>
      <c r="K17" s="404" t="s">
        <v>178</v>
      </c>
      <c r="L17" s="953"/>
      <c r="M17" s="460" t="str">
        <f t="shared" si="0"/>
        <v/>
      </c>
      <c r="N17" s="949"/>
      <c r="O17" s="958">
        <f>Draw!I34</f>
        <v>15</v>
      </c>
      <c r="P17" s="654" t="str">
        <f>Draw!H34</f>
        <v>Harald Simon</v>
      </c>
      <c r="Q17" s="13"/>
      <c r="R17" s="13"/>
      <c r="S17" s="13"/>
      <c r="T17" s="13"/>
      <c r="U17" s="13"/>
      <c r="V17" s="13"/>
      <c r="W17" s="13"/>
      <c r="X17" s="13"/>
      <c r="Y17" s="13"/>
      <c r="Z17" s="13"/>
      <c r="AA17" s="13"/>
      <c r="AB17" s="13"/>
      <c r="AC17" s="13"/>
      <c r="AD17" s="13"/>
      <c r="AE17" s="13"/>
      <c r="AF17" s="13"/>
      <c r="AG17" s="13"/>
      <c r="AH17" s="13"/>
      <c r="AI17" s="13"/>
      <c r="AJ17" s="13"/>
      <c r="AK17" s="13"/>
      <c r="AL17" s="13"/>
      <c r="AM17" s="13"/>
      <c r="AN17" s="13"/>
      <c r="AO17" s="13"/>
      <c r="AP17" s="13"/>
      <c r="AQ17" s="13"/>
      <c r="AR17" s="13"/>
      <c r="AS17" s="13"/>
      <c r="AT17" s="13"/>
      <c r="AU17" s="13"/>
      <c r="AV17" s="13"/>
      <c r="AW17" s="13"/>
      <c r="AX17" s="13"/>
      <c r="AY17" s="13"/>
      <c r="AZ17" s="13"/>
      <c r="BA17" s="13"/>
      <c r="BB17" s="13"/>
      <c r="BC17" s="13"/>
      <c r="BD17" s="13"/>
      <c r="BE17" s="13"/>
      <c r="BF17" s="13"/>
      <c r="BG17" s="13"/>
      <c r="BH17" s="13"/>
      <c r="BI17" s="13"/>
      <c r="BJ17" s="13"/>
      <c r="BK17" s="13"/>
      <c r="BL17" s="13"/>
      <c r="BM17" s="13"/>
      <c r="BN17" s="13"/>
      <c r="BO17" s="13"/>
      <c r="BP17" s="13"/>
      <c r="BQ17" s="13"/>
      <c r="BR17" s="13"/>
      <c r="BS17" s="13"/>
      <c r="BT17" s="13"/>
      <c r="BU17" s="13"/>
      <c r="BV17" s="13"/>
      <c r="BW17" s="13"/>
      <c r="BX17" s="13"/>
      <c r="BY17" s="13"/>
      <c r="BZ17" s="13"/>
      <c r="CA17" s="13"/>
      <c r="CB17" s="13"/>
      <c r="CC17" s="13"/>
      <c r="CD17" s="13"/>
      <c r="CE17" s="13"/>
      <c r="CF17" s="13"/>
      <c r="CG17" s="13"/>
      <c r="CH17" s="13"/>
      <c r="CI17" s="13"/>
      <c r="CJ17" s="13"/>
      <c r="CK17" s="13"/>
      <c r="CL17" s="13"/>
      <c r="CM17" s="13"/>
      <c r="CN17" s="13"/>
      <c r="CO17" s="13"/>
      <c r="CP17" s="13"/>
      <c r="CQ17" s="13"/>
      <c r="CR17" s="13"/>
      <c r="CS17" s="13"/>
    </row>
    <row r="18" spans="2:97" ht="18">
      <c r="B18" s="404" t="s">
        <v>179</v>
      </c>
      <c r="C18" s="404" t="e">
        <f>VLOOKUP(E18,#REF!,3,FALSE)</f>
        <v>#REF!</v>
      </c>
      <c r="D18" s="404" t="str">
        <f>IF('Day 2'!BD23="","",IF(L18&lt;&gt;"",L18,'Day 2'!BD23))</f>
        <v/>
      </c>
      <c r="E18" s="460" t="str">
        <f>IF('Day 2'!BE23="","",'Day 2'!BE23)</f>
        <v/>
      </c>
      <c r="F18" s="405" t="str">
        <f>IF('Day 2'!BE23="","",IF(M18&lt;&gt;"",M18,'Day 2'!BE23))</f>
        <v/>
      </c>
      <c r="G18" s="320" t="str">
        <f>IF(D18="","",VLOOKUP($F18,Draw!$B$3:$E$42,3,FALSE))</f>
        <v/>
      </c>
      <c r="H18" s="320" t="str">
        <f>IF(E18="","",VLOOKUP($F18,Draw!$B$3:$E$42,4,FALSE))</f>
        <v/>
      </c>
      <c r="I18" s="588" t="str">
        <f>IF(D18="","",VLOOKUP(F18,'Day 2'!BE$12:BF$29,2,FALSE))</f>
        <v/>
      </c>
      <c r="J18" s="13"/>
      <c r="K18" s="404" t="s">
        <v>179</v>
      </c>
      <c r="L18" s="953"/>
      <c r="M18" s="460" t="str">
        <f t="shared" si="0"/>
        <v/>
      </c>
      <c r="N18" s="949"/>
      <c r="O18" s="958">
        <f>Draw!I35</f>
        <v>11</v>
      </c>
      <c r="P18" s="654" t="str">
        <f>Draw!H35</f>
        <v>Vitaly Khomitsevich</v>
      </c>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3"/>
      <c r="AP18" s="13"/>
      <c r="AQ18" s="13"/>
      <c r="AR18" s="13"/>
      <c r="AS18" s="13"/>
      <c r="AT18" s="13"/>
      <c r="AU18" s="13"/>
      <c r="AV18" s="13"/>
      <c r="AW18" s="13"/>
      <c r="AX18" s="13"/>
      <c r="AY18" s="13"/>
      <c r="AZ18" s="13"/>
      <c r="BA18" s="13"/>
      <c r="BB18" s="13"/>
      <c r="BC18" s="13"/>
      <c r="BD18" s="13"/>
      <c r="BE18" s="13"/>
      <c r="BF18" s="13"/>
      <c r="BG18" s="13"/>
      <c r="BH18" s="13"/>
      <c r="BI18" s="13"/>
      <c r="BJ18" s="13"/>
      <c r="BK18" s="13"/>
      <c r="BL18" s="13"/>
      <c r="BM18" s="13"/>
      <c r="BN18" s="13"/>
      <c r="BO18" s="13"/>
      <c r="BP18" s="13"/>
      <c r="BQ18" s="13"/>
      <c r="BR18" s="13"/>
      <c r="BS18" s="13"/>
      <c r="BT18" s="13"/>
      <c r="BU18" s="13"/>
      <c r="BV18" s="13"/>
      <c r="BW18" s="13"/>
      <c r="BX18" s="13"/>
      <c r="BY18" s="13"/>
      <c r="BZ18" s="13"/>
      <c r="CA18" s="13"/>
      <c r="CB18" s="13"/>
      <c r="CC18" s="13"/>
      <c r="CD18" s="13"/>
      <c r="CE18" s="13"/>
      <c r="CF18" s="13"/>
      <c r="CG18" s="13"/>
      <c r="CH18" s="13"/>
      <c r="CI18" s="13"/>
      <c r="CJ18" s="13"/>
      <c r="CK18" s="13"/>
      <c r="CL18" s="13"/>
      <c r="CM18" s="13"/>
      <c r="CN18" s="13"/>
      <c r="CO18" s="13"/>
      <c r="CP18" s="13"/>
      <c r="CQ18" s="13"/>
      <c r="CR18" s="13"/>
      <c r="CS18" s="13"/>
    </row>
    <row r="19" spans="2:97" ht="18">
      <c r="B19" s="404" t="s">
        <v>180</v>
      </c>
      <c r="C19" s="404" t="e">
        <f>VLOOKUP(E19,#REF!,3,FALSE)</f>
        <v>#REF!</v>
      </c>
      <c r="D19" s="404" t="str">
        <f>IF('Day 2'!BD24="","",IF(L19&lt;&gt;"",L19,'Day 2'!BD24))</f>
        <v/>
      </c>
      <c r="E19" s="460" t="str">
        <f>IF('Day 2'!BE24="","",'Day 2'!BE24)</f>
        <v/>
      </c>
      <c r="F19" s="405" t="str">
        <f>IF('Day 2'!BE24="","",IF(M19&lt;&gt;"",M19,'Day 2'!BE24))</f>
        <v/>
      </c>
      <c r="G19" s="320" t="str">
        <f>IF(D19="","",VLOOKUP($F19,Draw!$B$3:$E$42,3,FALSE))</f>
        <v/>
      </c>
      <c r="H19" s="320" t="str">
        <f>IF(E19="","",VLOOKUP($F19,Draw!$B$3:$E$42,4,FALSE))</f>
        <v/>
      </c>
      <c r="I19" s="588" t="str">
        <f>IF(D19="","",VLOOKUP(F19,'Day 2'!BE$12:BF$29,2,FALSE))</f>
        <v/>
      </c>
      <c r="J19" s="13"/>
      <c r="K19" s="404" t="s">
        <v>180</v>
      </c>
      <c r="L19" s="953"/>
      <c r="M19" s="460" t="str">
        <f t="shared" si="0"/>
        <v/>
      </c>
      <c r="N19" s="949"/>
      <c r="O19" s="958">
        <f>Draw!I36</f>
        <v>19</v>
      </c>
      <c r="P19" s="654" t="str">
        <f>Draw!H36</f>
        <v>Daniel Henderson</v>
      </c>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3"/>
      <c r="AP19" s="13"/>
      <c r="AQ19" s="13"/>
      <c r="AR19" s="13"/>
      <c r="AS19" s="13"/>
      <c r="AT19" s="13"/>
      <c r="AU19" s="13"/>
      <c r="AV19" s="13"/>
      <c r="AW19" s="13"/>
      <c r="AX19" s="13"/>
      <c r="AY19" s="13"/>
      <c r="AZ19" s="13"/>
      <c r="BA19" s="13"/>
      <c r="BB19" s="13"/>
      <c r="BC19" s="13"/>
      <c r="BD19" s="13"/>
      <c r="BE19" s="13"/>
      <c r="BF19" s="13"/>
      <c r="BG19" s="13"/>
      <c r="BH19" s="13"/>
      <c r="BI19" s="13"/>
      <c r="BJ19" s="13"/>
      <c r="BK19" s="13"/>
      <c r="BL19" s="13"/>
      <c r="BM19" s="13"/>
      <c r="BN19" s="13"/>
      <c r="BO19" s="13"/>
      <c r="BP19" s="13"/>
      <c r="BQ19" s="13"/>
      <c r="BR19" s="13"/>
      <c r="BS19" s="13"/>
      <c r="BT19" s="13"/>
      <c r="BU19" s="13"/>
      <c r="BV19" s="13"/>
      <c r="BW19" s="13"/>
      <c r="BX19" s="13"/>
      <c r="BY19" s="13"/>
      <c r="BZ19" s="13"/>
      <c r="CA19" s="13"/>
      <c r="CB19" s="13"/>
      <c r="CC19" s="13"/>
      <c r="CD19" s="13"/>
      <c r="CE19" s="13"/>
      <c r="CF19" s="13"/>
      <c r="CG19" s="13"/>
      <c r="CH19" s="13"/>
      <c r="CI19" s="13"/>
      <c r="CJ19" s="13"/>
      <c r="CK19" s="13"/>
      <c r="CL19" s="13"/>
      <c r="CM19" s="13"/>
      <c r="CN19" s="13"/>
      <c r="CO19" s="13"/>
      <c r="CP19" s="13"/>
      <c r="CQ19" s="13"/>
      <c r="CR19" s="13"/>
      <c r="CS19" s="13"/>
    </row>
    <row r="20" spans="2:97" ht="18">
      <c r="B20" s="404" t="s">
        <v>181</v>
      </c>
      <c r="C20" s="404" t="e">
        <f>VLOOKUP(E20,#REF!,3,FALSE)</f>
        <v>#REF!</v>
      </c>
      <c r="D20" s="404" t="str">
        <f>IF('Day 2'!BD25="","",IF(L20&lt;&gt;"",L20,'Day 2'!BD25))</f>
        <v/>
      </c>
      <c r="E20" s="460" t="str">
        <f>IF('Day 2'!BE25="","",'Day 2'!BE25)</f>
        <v/>
      </c>
      <c r="F20" s="405" t="str">
        <f>IF('Day 2'!BE25="","",IF(M20&lt;&gt;"",M20,'Day 2'!BE25))</f>
        <v/>
      </c>
      <c r="G20" s="320" t="str">
        <f>IF(D20="","",VLOOKUP($F20,Draw!$B$3:$E$42,3,FALSE))</f>
        <v/>
      </c>
      <c r="H20" s="320" t="str">
        <f>IF(E20="","",VLOOKUP($F20,Draw!$B$3:$E$42,4,FALSE))</f>
        <v/>
      </c>
      <c r="I20" s="588" t="str">
        <f>IF(D20="","",VLOOKUP(F20,'Day 2'!BE$12:BF$29,2,FALSE))</f>
        <v/>
      </c>
      <c r="J20" s="13"/>
      <c r="K20" s="404" t="s">
        <v>181</v>
      </c>
      <c r="L20" s="953"/>
      <c r="M20" s="460" t="str">
        <f t="shared" si="0"/>
        <v/>
      </c>
      <c r="N20" s="949"/>
      <c r="O20" s="958">
        <f>Draw!I37</f>
        <v>8</v>
      </c>
      <c r="P20" s="654" t="str">
        <f>Draw!H37</f>
        <v>Stefan Pletschacher</v>
      </c>
      <c r="Q20" s="13"/>
      <c r="R20" s="13"/>
      <c r="S20" s="13"/>
      <c r="T20" s="13"/>
      <c r="U20" s="13"/>
      <c r="V20" s="13"/>
      <c r="W20" s="13"/>
      <c r="X20" s="13"/>
      <c r="Y20" s="13"/>
      <c r="Z20" s="13"/>
      <c r="AA20" s="13"/>
      <c r="AB20" s="13"/>
      <c r="AC20" s="13"/>
      <c r="AD20" s="13"/>
      <c r="AE20" s="13"/>
      <c r="AF20" s="13"/>
      <c r="AG20" s="13"/>
      <c r="AH20" s="13"/>
      <c r="AI20" s="13"/>
      <c r="AJ20" s="13"/>
      <c r="AK20" s="13"/>
      <c r="AL20" s="13"/>
      <c r="AM20" s="13"/>
      <c r="AN20" s="13"/>
      <c r="AO20" s="13"/>
      <c r="AP20" s="13"/>
      <c r="AQ20" s="13"/>
      <c r="AR20" s="13"/>
      <c r="AS20" s="13"/>
      <c r="AT20" s="13"/>
      <c r="AU20" s="13"/>
      <c r="AV20" s="13"/>
      <c r="AW20" s="13"/>
      <c r="AX20" s="13"/>
      <c r="AY20" s="13"/>
      <c r="AZ20" s="13"/>
      <c r="BA20" s="13"/>
      <c r="BB20" s="13"/>
      <c r="BC20" s="13"/>
      <c r="BD20" s="13"/>
      <c r="BE20" s="13"/>
      <c r="BF20" s="13"/>
      <c r="BG20" s="13"/>
      <c r="BH20" s="13"/>
      <c r="BI20" s="13"/>
      <c r="BJ20" s="13"/>
      <c r="BK20" s="13"/>
      <c r="BL20" s="13"/>
      <c r="BM20" s="13"/>
      <c r="BN20" s="13"/>
      <c r="BO20" s="13"/>
      <c r="BP20" s="13"/>
      <c r="BQ20" s="13"/>
      <c r="BR20" s="13"/>
      <c r="BS20" s="13"/>
      <c r="BT20" s="13"/>
      <c r="BU20" s="13"/>
      <c r="BV20" s="13"/>
      <c r="BW20" s="13"/>
      <c r="BX20" s="13"/>
      <c r="BY20" s="13"/>
      <c r="BZ20" s="13"/>
      <c r="CA20" s="13"/>
      <c r="CB20" s="13"/>
      <c r="CC20" s="13"/>
      <c r="CD20" s="13"/>
      <c r="CE20" s="13"/>
      <c r="CF20" s="13"/>
      <c r="CG20" s="13"/>
      <c r="CH20" s="13"/>
      <c r="CI20" s="13"/>
      <c r="CJ20" s="13"/>
      <c r="CK20" s="13"/>
      <c r="CL20" s="13"/>
      <c r="CM20" s="13"/>
      <c r="CN20" s="13"/>
      <c r="CO20" s="13"/>
      <c r="CP20" s="13"/>
      <c r="CQ20" s="13"/>
      <c r="CR20" s="13"/>
      <c r="CS20" s="13"/>
    </row>
    <row r="21" spans="2:97" ht="18">
      <c r="B21" s="404" t="s">
        <v>182</v>
      </c>
      <c r="C21" s="404" t="e">
        <f>VLOOKUP(E21,#REF!,3,FALSE)</f>
        <v>#REF!</v>
      </c>
      <c r="D21" s="404" t="str">
        <f>IF('Day 2'!BD26="","",IF(L21&lt;&gt;"",L21,'Day 2'!BD26))</f>
        <v/>
      </c>
      <c r="E21" s="460" t="str">
        <f>IF('Day 2'!BE26="","",'Day 2'!BE26)</f>
        <v/>
      </c>
      <c r="F21" s="405" t="str">
        <f>IF('Day 2'!BE26="","",IF(M21&lt;&gt;"",M21,'Day 2'!BE26))</f>
        <v/>
      </c>
      <c r="G21" s="320" t="str">
        <f>IF(D21="","",VLOOKUP($F21,Draw!$B$3:$E$42,3,FALSE))</f>
        <v/>
      </c>
      <c r="H21" s="320" t="str">
        <f>IF(E21="","",VLOOKUP($F21,Draw!$B$3:$E$42,4,FALSE))</f>
        <v/>
      </c>
      <c r="I21" s="588" t="str">
        <f>IF(D21="","",VLOOKUP(F21,'Day 2'!BE$12:BF$29,2,FALSE))</f>
        <v/>
      </c>
      <c r="J21" s="13"/>
      <c r="K21" s="404" t="s">
        <v>182</v>
      </c>
      <c r="L21" s="953"/>
      <c r="M21" s="460" t="str">
        <f t="shared" si="0"/>
        <v/>
      </c>
      <c r="N21" s="949"/>
      <c r="O21" s="958">
        <f>Draw!I38</f>
        <v>2</v>
      </c>
      <c r="P21" s="654" t="str">
        <f>Draw!H38</f>
        <v>Dimitry Koltakov</v>
      </c>
      <c r="Q21" s="13"/>
      <c r="R21" s="13"/>
      <c r="S21" s="13"/>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13"/>
      <c r="AZ21" s="13"/>
      <c r="BA21" s="13"/>
      <c r="BB21" s="13"/>
      <c r="BC21" s="13"/>
      <c r="BD21" s="13"/>
      <c r="BE21" s="13"/>
      <c r="BF21" s="13"/>
      <c r="BG21" s="13"/>
      <c r="BH21" s="13"/>
      <c r="BI21" s="13"/>
      <c r="BJ21" s="13"/>
      <c r="BK21" s="13"/>
      <c r="BL21" s="13"/>
      <c r="BM21" s="13"/>
      <c r="BN21" s="13"/>
      <c r="BO21" s="13"/>
      <c r="BP21" s="13"/>
      <c r="BQ21" s="13"/>
      <c r="BR21" s="13"/>
      <c r="BS21" s="13"/>
      <c r="BT21" s="13"/>
      <c r="BU21" s="13"/>
      <c r="BV21" s="13"/>
      <c r="BW21" s="13"/>
      <c r="BX21" s="13"/>
      <c r="BY21" s="13"/>
      <c r="BZ21" s="13"/>
      <c r="CA21" s="13"/>
      <c r="CB21" s="13"/>
      <c r="CC21" s="13"/>
      <c r="CD21" s="13"/>
      <c r="CE21" s="13"/>
      <c r="CF21" s="13"/>
      <c r="CG21" s="13"/>
      <c r="CH21" s="13"/>
      <c r="CI21" s="13"/>
      <c r="CJ21" s="13"/>
      <c r="CK21" s="13"/>
      <c r="CL21" s="13"/>
      <c r="CM21" s="13"/>
      <c r="CN21" s="13"/>
      <c r="CO21" s="13"/>
      <c r="CP21" s="13"/>
      <c r="CQ21" s="13"/>
      <c r="CR21" s="13"/>
      <c r="CS21" s="13"/>
    </row>
    <row r="22" spans="2:97" ht="18">
      <c r="B22" s="404" t="s">
        <v>183</v>
      </c>
      <c r="C22" s="404" t="e">
        <f>VLOOKUP(E22,#REF!,3,FALSE)</f>
        <v>#REF!</v>
      </c>
      <c r="D22" s="404" t="str">
        <f>IF('Day 2'!BD27="","",IF(L22&lt;&gt;"",L22,'Day 2'!BD27))</f>
        <v/>
      </c>
      <c r="E22" s="460" t="str">
        <f>IF('Day 2'!BE27="","",'Day 2'!BE27)</f>
        <v/>
      </c>
      <c r="F22" s="405" t="str">
        <f>IF('Day 2'!BE27="","",IF(M22&lt;&gt;"",M22,'Day 2'!BE27))</f>
        <v/>
      </c>
      <c r="G22" s="320" t="str">
        <f>IF(D22="","",VLOOKUP($F22,Draw!$B$3:$E$42,3,FALSE))</f>
        <v/>
      </c>
      <c r="H22" s="320" t="str">
        <f>IF(E22="","",VLOOKUP($F22,Draw!$B$3:$E$42,4,FALSE))</f>
        <v/>
      </c>
      <c r="I22" s="588" t="str">
        <f>IF(D22="","",VLOOKUP(F22,'Day 2'!BE$12:BF$29,2,FALSE))</f>
        <v/>
      </c>
      <c r="J22" s="13"/>
      <c r="K22" s="404" t="s">
        <v>183</v>
      </c>
      <c r="L22" s="953"/>
      <c r="M22" s="460" t="str">
        <f t="shared" si="0"/>
        <v/>
      </c>
      <c r="N22" s="949"/>
      <c r="O22" s="958">
        <f>Draw!I39</f>
        <v>5</v>
      </c>
      <c r="P22" s="654" t="str">
        <f>Draw!H39</f>
        <v>Stefan Svensson</v>
      </c>
      <c r="Q22" s="13"/>
      <c r="R22" s="13"/>
      <c r="S22" s="13"/>
      <c r="T22" s="13"/>
      <c r="U22" s="13"/>
      <c r="V22" s="13"/>
      <c r="W22" s="13"/>
      <c r="X22" s="13"/>
      <c r="Y22" s="13"/>
      <c r="Z22" s="13"/>
      <c r="AA22" s="13"/>
      <c r="AB22" s="13"/>
      <c r="AC22" s="13"/>
      <c r="AD22" s="13"/>
      <c r="AE22" s="13"/>
      <c r="AF22" s="13"/>
      <c r="AG22" s="13"/>
      <c r="AH22" s="13"/>
      <c r="AI22" s="13"/>
      <c r="AJ22" s="13"/>
      <c r="AK22" s="13"/>
      <c r="AL22" s="13"/>
      <c r="AM22" s="13"/>
      <c r="AN22" s="13"/>
      <c r="AO22" s="13"/>
      <c r="AP22" s="13"/>
      <c r="AQ22" s="13"/>
      <c r="AR22" s="13"/>
      <c r="AS22" s="13"/>
      <c r="AT22" s="13"/>
      <c r="AU22" s="13"/>
      <c r="AV22" s="13"/>
      <c r="AW22" s="13"/>
      <c r="AX22" s="13"/>
      <c r="AY22" s="13"/>
      <c r="AZ22" s="13"/>
      <c r="BA22" s="13"/>
      <c r="BB22" s="13"/>
      <c r="BC22" s="13"/>
      <c r="BD22" s="13"/>
      <c r="BE22" s="13"/>
      <c r="BF22" s="13"/>
      <c r="BG22" s="13"/>
      <c r="BH22" s="13"/>
      <c r="BI22" s="13"/>
      <c r="BJ22" s="13"/>
      <c r="BK22" s="13"/>
      <c r="BL22" s="13"/>
      <c r="BM22" s="13"/>
      <c r="BN22" s="13"/>
      <c r="BO22" s="13"/>
      <c r="BP22" s="13"/>
      <c r="BQ22" s="13"/>
      <c r="BR22" s="13"/>
      <c r="BS22" s="13"/>
      <c r="BT22" s="13"/>
      <c r="BU22" s="13"/>
      <c r="BV22" s="13"/>
      <c r="BW22" s="13"/>
      <c r="BX22" s="13"/>
      <c r="BY22" s="13"/>
      <c r="BZ22" s="13"/>
      <c r="CA22" s="13"/>
      <c r="CB22" s="13"/>
      <c r="CC22" s="13"/>
      <c r="CD22" s="13"/>
      <c r="CE22" s="13"/>
      <c r="CF22" s="13"/>
      <c r="CG22" s="13"/>
      <c r="CH22" s="13"/>
      <c r="CI22" s="13"/>
      <c r="CJ22" s="13"/>
      <c r="CK22" s="13"/>
      <c r="CL22" s="13"/>
      <c r="CM22" s="13"/>
      <c r="CN22" s="13"/>
      <c r="CO22" s="13"/>
      <c r="CP22" s="13"/>
      <c r="CQ22" s="13"/>
      <c r="CR22" s="13"/>
      <c r="CS22" s="13"/>
    </row>
    <row r="23" spans="2:97" ht="18">
      <c r="B23" s="404" t="s">
        <v>184</v>
      </c>
      <c r="C23" s="404" t="e">
        <f>VLOOKUP(E23,#REF!,3,FALSE)</f>
        <v>#REF!</v>
      </c>
      <c r="D23" s="404" t="str">
        <f>IF('Day 2'!BD28="","",IF(L23&lt;&gt;"",L23,'Day 2'!BD28))</f>
        <v/>
      </c>
      <c r="E23" s="460" t="str">
        <f>IF('Day 2'!BE28="","",'Day 2'!BE28)</f>
        <v/>
      </c>
      <c r="F23" s="405" t="str">
        <f>IF('Day 2'!BE28="","",IF(M23&lt;&gt;"",M23,'Day 2'!BE28))</f>
        <v/>
      </c>
      <c r="G23" s="320" t="str">
        <f>IF(D23="","",VLOOKUP($F23,Draw!$B$3:$E$42,3,FALSE))</f>
        <v/>
      </c>
      <c r="H23" s="320" t="str">
        <f>IF(E23="","",VLOOKUP($F23,Draw!$B$3:$E$42,4,FALSE))</f>
        <v/>
      </c>
      <c r="I23" s="588" t="str">
        <f>IF(D23="","",VLOOKUP(F23,'Day 2'!BE$12:BF$29,2,FALSE))</f>
        <v/>
      </c>
      <c r="J23" s="13"/>
      <c r="K23" s="404" t="s">
        <v>184</v>
      </c>
      <c r="L23" s="953"/>
      <c r="M23" s="460" t="str">
        <f>IF(L23="","",VLOOKUP(L23,$O$7:$P$24,2,FALSE))</f>
        <v/>
      </c>
      <c r="N23" s="949"/>
      <c r="O23" s="958">
        <f>Draw!I40</f>
        <v>17</v>
      </c>
      <c r="P23" s="654" t="str">
        <f>Draw!H40</f>
        <v>Simon Reitsma</v>
      </c>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13"/>
      <c r="AZ23" s="13"/>
      <c r="BA23" s="13"/>
      <c r="BB23" s="13"/>
      <c r="BC23" s="13"/>
      <c r="BD23" s="13"/>
      <c r="BE23" s="13"/>
      <c r="BF23" s="13"/>
      <c r="BG23" s="13"/>
      <c r="BH23" s="13"/>
      <c r="BI23" s="13"/>
      <c r="BJ23" s="13"/>
      <c r="BK23" s="13"/>
      <c r="BL23" s="13"/>
      <c r="BM23" s="13"/>
      <c r="BN23" s="13"/>
      <c r="BO23" s="13"/>
      <c r="BP23" s="13"/>
      <c r="BQ23" s="13"/>
      <c r="BR23" s="13"/>
      <c r="BS23" s="13"/>
      <c r="BT23" s="13"/>
      <c r="BU23" s="13"/>
      <c r="BV23" s="13"/>
      <c r="BW23" s="13"/>
      <c r="BX23" s="13"/>
      <c r="BY23" s="13"/>
      <c r="BZ23" s="13"/>
      <c r="CA23" s="13"/>
      <c r="CB23" s="13"/>
      <c r="CC23" s="13"/>
      <c r="CD23" s="13"/>
      <c r="CE23" s="13"/>
      <c r="CF23" s="13"/>
      <c r="CG23" s="13"/>
      <c r="CH23" s="13"/>
      <c r="CI23" s="13"/>
      <c r="CJ23" s="13"/>
      <c r="CK23" s="13"/>
      <c r="CL23" s="13"/>
      <c r="CM23" s="13"/>
      <c r="CN23" s="13"/>
      <c r="CO23" s="13"/>
      <c r="CP23" s="13"/>
      <c r="CQ23" s="13"/>
      <c r="CR23" s="13"/>
      <c r="CS23" s="13"/>
    </row>
    <row r="24" spans="2:97" ht="18.75" thickBot="1">
      <c r="B24" s="406" t="s">
        <v>185</v>
      </c>
      <c r="C24" s="406" t="e">
        <f>VLOOKUP(E24,#REF!,3,FALSE)</f>
        <v>#REF!</v>
      </c>
      <c r="D24" s="406" t="str">
        <f>IF('Day 2'!BD29="","",IF(L24&lt;&gt;"",L24,'Day 2'!BD29))</f>
        <v/>
      </c>
      <c r="E24" s="461" t="str">
        <f>IF('Day 2'!BE29="","",'Day 2'!BE29)</f>
        <v/>
      </c>
      <c r="F24" s="407" t="str">
        <f>IF('Day 2'!BE29="","",IF(M24&lt;&gt;"",M24,'Day 2'!BE29))</f>
        <v/>
      </c>
      <c r="G24" s="321" t="str">
        <f>IF(D24="","",VLOOKUP($F24,Draw!$B$3:$E$42,3,FALSE))</f>
        <v/>
      </c>
      <c r="H24" s="321" t="str">
        <f>IF(E24="","",VLOOKUP($F24,Draw!$B$3:$E$42,4,FALSE))</f>
        <v/>
      </c>
      <c r="I24" s="589" t="str">
        <f>IF(D24="","",VLOOKUP(F24,'Day 2'!BE$12:BF$29,2,FALSE))</f>
        <v/>
      </c>
      <c r="J24" s="13"/>
      <c r="K24" s="406" t="s">
        <v>185</v>
      </c>
      <c r="L24" s="954"/>
      <c r="M24" s="461" t="str">
        <f>IF(L24="","",VLOOKUP(L24,$O$7:$P$24,2,FALSE))</f>
        <v/>
      </c>
      <c r="N24" s="949"/>
      <c r="O24" s="958">
        <f>Draw!I41</f>
        <v>18</v>
      </c>
      <c r="P24" s="654" t="str">
        <f>Draw!H41</f>
        <v>Max Niedermaier</v>
      </c>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3"/>
      <c r="AP24" s="13"/>
      <c r="AQ24" s="13"/>
      <c r="AR24" s="13"/>
      <c r="AS24" s="13"/>
      <c r="AT24" s="13"/>
      <c r="AU24" s="13"/>
      <c r="AV24" s="13"/>
      <c r="AW24" s="13"/>
      <c r="AX24" s="13"/>
      <c r="AY24" s="13"/>
      <c r="AZ24" s="13"/>
      <c r="BA24" s="13"/>
      <c r="BB24" s="13"/>
      <c r="BC24" s="13"/>
      <c r="BD24" s="13"/>
      <c r="BE24" s="13"/>
      <c r="BF24" s="13"/>
      <c r="BG24" s="13"/>
      <c r="BH24" s="13"/>
      <c r="BI24" s="13"/>
      <c r="BJ24" s="13"/>
      <c r="BK24" s="13"/>
      <c r="BL24" s="13"/>
      <c r="BM24" s="13"/>
      <c r="BN24" s="13"/>
      <c r="BO24" s="13"/>
      <c r="BP24" s="13"/>
      <c r="BQ24" s="13"/>
      <c r="BR24" s="13"/>
      <c r="BS24" s="13"/>
      <c r="BT24" s="13"/>
      <c r="BU24" s="13"/>
      <c r="BV24" s="13"/>
      <c r="BW24" s="13"/>
      <c r="BX24" s="13"/>
      <c r="BY24" s="13"/>
      <c r="BZ24" s="13"/>
      <c r="CA24" s="13"/>
      <c r="CB24" s="13"/>
      <c r="CC24" s="13"/>
      <c r="CD24" s="13"/>
      <c r="CE24" s="13"/>
      <c r="CF24" s="13"/>
      <c r="CG24" s="13"/>
      <c r="CH24" s="13"/>
      <c r="CI24" s="13"/>
      <c r="CJ24" s="13"/>
      <c r="CK24" s="13"/>
      <c r="CL24" s="13"/>
      <c r="CM24" s="13"/>
      <c r="CN24" s="13"/>
      <c r="CO24" s="13"/>
      <c r="CP24" s="13"/>
      <c r="CQ24" s="13"/>
      <c r="CR24" s="13"/>
      <c r="CS24" s="13"/>
    </row>
    <row r="25" spans="2:97" hidden="1">
      <c r="H25" s="290"/>
      <c r="I25" s="316"/>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13"/>
      <c r="AZ25" s="13"/>
      <c r="BA25" s="13"/>
      <c r="BB25" s="13"/>
      <c r="BC25" s="13"/>
      <c r="BD25" s="13"/>
      <c r="BE25" s="13"/>
      <c r="BF25" s="13"/>
      <c r="BG25" s="13"/>
      <c r="BH25" s="13"/>
      <c r="BI25" s="13"/>
      <c r="BJ25" s="13"/>
      <c r="BK25" s="13"/>
      <c r="BL25" s="13"/>
      <c r="BM25" s="13"/>
      <c r="BN25" s="13"/>
      <c r="BO25" s="13"/>
      <c r="BP25" s="13"/>
      <c r="BQ25" s="13"/>
      <c r="BR25" s="13"/>
      <c r="BS25" s="13"/>
      <c r="BT25" s="13"/>
      <c r="BU25" s="13"/>
      <c r="BV25" s="13"/>
      <c r="BW25" s="13"/>
      <c r="BX25" s="13"/>
      <c r="BY25" s="13"/>
      <c r="BZ25" s="13"/>
      <c r="CA25" s="13"/>
      <c r="CB25" s="13"/>
      <c r="CC25" s="13"/>
      <c r="CD25" s="13"/>
      <c r="CE25" s="13"/>
      <c r="CF25" s="13"/>
      <c r="CG25" s="13"/>
      <c r="CH25" s="13"/>
      <c r="CI25" s="13"/>
      <c r="CJ25" s="13"/>
      <c r="CK25" s="13"/>
      <c r="CL25" s="13"/>
      <c r="CM25" s="13"/>
      <c r="CN25" s="13"/>
      <c r="CO25" s="13"/>
      <c r="CP25" s="13"/>
      <c r="CQ25" s="13"/>
      <c r="CR25" s="13"/>
      <c r="CS25" s="13"/>
    </row>
    <row r="26" spans="2:97" hidden="1">
      <c r="B26" s="13"/>
      <c r="D26" s="548"/>
      <c r="H26" s="290"/>
      <c r="I26" s="316"/>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3"/>
      <c r="AP26" s="13"/>
      <c r="AQ26" s="13"/>
      <c r="AR26" s="13"/>
      <c r="AS26" s="13"/>
      <c r="AT26" s="13"/>
      <c r="AU26" s="13"/>
      <c r="AV26" s="13"/>
      <c r="AW26" s="13"/>
      <c r="AX26" s="13"/>
      <c r="AY26" s="13"/>
      <c r="AZ26" s="13"/>
      <c r="BA26" s="13"/>
      <c r="BB26" s="13"/>
      <c r="BC26" s="13"/>
      <c r="BD26" s="13"/>
      <c r="BE26" s="13"/>
      <c r="BF26" s="13"/>
      <c r="BG26" s="13"/>
      <c r="BH26" s="13"/>
      <c r="BI26" s="13"/>
      <c r="BJ26" s="13"/>
      <c r="BK26" s="13"/>
      <c r="BL26" s="13"/>
      <c r="BM26" s="13"/>
      <c r="BN26" s="13"/>
      <c r="BO26" s="13"/>
      <c r="BP26" s="13"/>
      <c r="BQ26" s="13"/>
      <c r="BR26" s="13"/>
      <c r="BS26" s="13"/>
      <c r="BT26" s="13"/>
      <c r="BU26" s="13"/>
      <c r="BV26" s="13"/>
      <c r="BW26" s="13"/>
      <c r="BX26" s="13"/>
      <c r="BY26" s="13"/>
      <c r="BZ26" s="13"/>
      <c r="CA26" s="13"/>
      <c r="CB26" s="13"/>
      <c r="CC26" s="13"/>
      <c r="CD26" s="13"/>
      <c r="CE26" s="13"/>
      <c r="CF26" s="13"/>
      <c r="CG26" s="13"/>
      <c r="CH26" s="13"/>
      <c r="CI26" s="13"/>
      <c r="CJ26" s="13"/>
      <c r="CK26" s="13"/>
      <c r="CL26" s="13"/>
      <c r="CM26" s="13"/>
      <c r="CN26" s="13"/>
      <c r="CO26" s="13"/>
      <c r="CP26" s="13"/>
      <c r="CQ26" s="13"/>
      <c r="CR26" s="13"/>
      <c r="CS26" s="13"/>
    </row>
    <row r="27" spans="2:97" ht="13.9" customHeight="1">
      <c r="B27" s="289"/>
      <c r="G27" s="1294"/>
      <c r="H27" s="1294"/>
      <c r="I27" s="1294"/>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3"/>
      <c r="AP27" s="13"/>
      <c r="AQ27" s="13"/>
      <c r="AR27" s="13"/>
      <c r="AS27" s="13"/>
      <c r="AT27" s="13"/>
      <c r="AU27" s="13"/>
      <c r="AV27" s="13"/>
      <c r="AW27" s="13"/>
      <c r="AX27" s="13"/>
      <c r="AY27" s="13"/>
      <c r="AZ27" s="13"/>
      <c r="BA27" s="13"/>
      <c r="BB27" s="13"/>
      <c r="BC27" s="13"/>
      <c r="BD27" s="13"/>
      <c r="BE27" s="13"/>
      <c r="BF27" s="13"/>
      <c r="BG27" s="13"/>
      <c r="BH27" s="13"/>
      <c r="BI27" s="13"/>
      <c r="BJ27" s="13"/>
      <c r="BK27" s="13"/>
      <c r="BL27" s="13"/>
      <c r="BM27" s="13"/>
      <c r="BN27" s="13"/>
      <c r="BO27" s="13"/>
      <c r="BP27" s="13"/>
      <c r="BQ27" s="13"/>
      <c r="BR27" s="13"/>
      <c r="BS27" s="13"/>
      <c r="BT27" s="13"/>
      <c r="BU27" s="13"/>
      <c r="BV27" s="13"/>
      <c r="BW27" s="13"/>
      <c r="BX27" s="13"/>
      <c r="BY27" s="13"/>
      <c r="BZ27" s="13"/>
      <c r="CA27" s="13"/>
      <c r="CB27" s="13"/>
      <c r="CC27" s="13"/>
      <c r="CD27" s="13"/>
      <c r="CE27" s="13"/>
      <c r="CF27" s="13"/>
      <c r="CG27" s="13"/>
      <c r="CH27" s="13"/>
      <c r="CI27" s="13"/>
      <c r="CJ27" s="13"/>
      <c r="CK27" s="13"/>
      <c r="CL27" s="13"/>
      <c r="CM27" s="13"/>
      <c r="CN27" s="13"/>
      <c r="CO27" s="13"/>
      <c r="CP27" s="13"/>
      <c r="CQ27" s="13"/>
      <c r="CR27" s="13"/>
      <c r="CS27" s="13"/>
    </row>
    <row r="28" spans="2:97" ht="13.9" customHeight="1">
      <c r="B28" s="1340" t="s">
        <v>381</v>
      </c>
      <c r="C28" s="1340"/>
      <c r="D28" s="1340"/>
      <c r="E28" s="1340"/>
      <c r="F28" s="1340"/>
      <c r="G28" s="102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3"/>
      <c r="AP28" s="13"/>
      <c r="AQ28" s="13"/>
      <c r="AR28" s="13"/>
      <c r="AS28" s="13"/>
      <c r="AT28" s="13"/>
      <c r="AU28" s="13"/>
      <c r="AV28" s="13"/>
      <c r="AW28" s="13"/>
      <c r="AX28" s="13"/>
      <c r="AY28" s="13"/>
      <c r="AZ28" s="13"/>
      <c r="BA28" s="13"/>
      <c r="BB28" s="13"/>
      <c r="BC28" s="13"/>
      <c r="BD28" s="13"/>
      <c r="BE28" s="13"/>
      <c r="BF28" s="13"/>
      <c r="BG28" s="13"/>
      <c r="BH28" s="13"/>
      <c r="BI28" s="13"/>
      <c r="BJ28" s="13"/>
      <c r="BK28" s="13"/>
      <c r="BL28" s="13"/>
      <c r="BM28" s="13"/>
      <c r="BN28" s="13"/>
      <c r="BO28" s="13"/>
      <c r="BP28" s="13"/>
      <c r="BQ28" s="13"/>
      <c r="BR28" s="13"/>
      <c r="BS28" s="13"/>
      <c r="BT28" s="13"/>
      <c r="BU28" s="13"/>
      <c r="BV28" s="13"/>
      <c r="BW28" s="13"/>
      <c r="BX28" s="13"/>
      <c r="BY28" s="13"/>
      <c r="BZ28" s="13"/>
      <c r="CA28" s="13"/>
      <c r="CB28" s="13"/>
      <c r="CC28" s="13"/>
      <c r="CD28" s="13"/>
      <c r="CE28" s="13"/>
      <c r="CF28" s="13"/>
      <c r="CG28" s="13"/>
      <c r="CH28" s="13"/>
      <c r="CI28" s="13"/>
      <c r="CJ28" s="13"/>
      <c r="CK28" s="13"/>
      <c r="CL28" s="13"/>
      <c r="CM28" s="13"/>
      <c r="CN28" s="13"/>
      <c r="CO28" s="13"/>
      <c r="CP28" s="13"/>
      <c r="CQ28" s="13"/>
      <c r="CR28" s="13"/>
      <c r="CS28" s="13"/>
    </row>
    <row r="29" spans="2:97" ht="13.9" customHeight="1">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3"/>
      <c r="AP29" s="13"/>
      <c r="AQ29" s="13"/>
      <c r="AR29" s="13"/>
      <c r="AS29" s="13"/>
      <c r="AT29" s="13"/>
      <c r="AU29" s="13"/>
      <c r="AV29" s="13"/>
      <c r="AW29" s="13"/>
      <c r="AX29" s="13"/>
      <c r="AY29" s="13"/>
      <c r="AZ29" s="13"/>
      <c r="BA29" s="13"/>
      <c r="BB29" s="13"/>
      <c r="BC29" s="13"/>
      <c r="BD29" s="13"/>
      <c r="BE29" s="13"/>
      <c r="BF29" s="13"/>
      <c r="BG29" s="13"/>
      <c r="BH29" s="13"/>
      <c r="BI29" s="13"/>
      <c r="BJ29" s="13"/>
      <c r="BK29" s="13"/>
      <c r="BL29" s="13"/>
      <c r="BM29" s="13"/>
      <c r="BN29" s="13"/>
      <c r="BO29" s="13"/>
      <c r="BP29" s="13"/>
      <c r="BQ29" s="13"/>
      <c r="BR29" s="13"/>
      <c r="BS29" s="13"/>
      <c r="BT29" s="13"/>
      <c r="BU29" s="13"/>
      <c r="BV29" s="13"/>
      <c r="BW29" s="13"/>
      <c r="BX29" s="13"/>
      <c r="BY29" s="13"/>
      <c r="BZ29" s="13"/>
      <c r="CA29" s="13"/>
      <c r="CB29" s="13"/>
      <c r="CC29" s="13"/>
      <c r="CD29" s="13"/>
      <c r="CE29" s="13"/>
      <c r="CF29" s="13"/>
      <c r="CG29" s="13"/>
      <c r="CH29" s="13"/>
      <c r="CI29" s="13"/>
      <c r="CJ29" s="13"/>
      <c r="CK29" s="13"/>
      <c r="CL29" s="13"/>
      <c r="CM29" s="13"/>
      <c r="CN29" s="13"/>
      <c r="CO29" s="13"/>
      <c r="CP29" s="13"/>
      <c r="CQ29" s="13"/>
      <c r="CR29" s="13"/>
      <c r="CS29" s="13"/>
    </row>
    <row r="30" spans="2:97" ht="13.9" customHeight="1">
      <c r="B30" s="289" t="s">
        <v>76</v>
      </c>
      <c r="G30" s="1294" t="s">
        <v>310</v>
      </c>
      <c r="H30" s="1294"/>
      <c r="I30" s="1294"/>
      <c r="J30" s="13"/>
      <c r="K30" s="13"/>
      <c r="L30" s="13"/>
      <c r="M30" s="672" t="s">
        <v>326</v>
      </c>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3"/>
      <c r="AP30" s="13"/>
      <c r="AQ30" s="13"/>
      <c r="AR30" s="13"/>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13"/>
      <c r="CG30" s="13"/>
      <c r="CH30" s="13"/>
      <c r="CI30" s="13"/>
      <c r="CJ30" s="13"/>
      <c r="CK30" s="13"/>
      <c r="CL30" s="13"/>
      <c r="CM30" s="13"/>
      <c r="CN30" s="13"/>
      <c r="CO30" s="13"/>
      <c r="CP30" s="13"/>
      <c r="CQ30" s="13"/>
      <c r="CR30" s="13"/>
      <c r="CS30" s="13"/>
    </row>
    <row r="31" spans="2:97" ht="13.9" customHeight="1">
      <c r="B31" s="1291" t="str">
        <f>Draw!T10</f>
        <v>Mick Posselwhite: ACU</v>
      </c>
      <c r="C31" s="1291"/>
      <c r="D31" s="1291"/>
      <c r="E31" s="1291"/>
      <c r="F31" s="1291"/>
      <c r="G31" s="1291" t="str">
        <f>Draw!T12</f>
        <v>Bert Eijbergen: KNMV</v>
      </c>
      <c r="H31" s="1291"/>
      <c r="I31" s="1291"/>
      <c r="J31" s="13"/>
      <c r="K31" s="13"/>
      <c r="L31" s="13"/>
      <c r="M31" s="672" t="s">
        <v>327</v>
      </c>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3"/>
      <c r="AP31" s="13"/>
      <c r="AQ31" s="13"/>
      <c r="AR31" s="13"/>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13"/>
      <c r="CJ31" s="13"/>
      <c r="CK31" s="13"/>
      <c r="CL31" s="13"/>
      <c r="CM31" s="13"/>
      <c r="CN31" s="13"/>
      <c r="CO31" s="13"/>
      <c r="CP31" s="13"/>
      <c r="CQ31" s="13"/>
      <c r="CR31" s="13"/>
      <c r="CS31" s="13"/>
    </row>
    <row r="32" spans="2:97" ht="13.9" customHeight="1">
      <c r="B32" s="463"/>
      <c r="C32" s="463"/>
      <c r="D32" s="463"/>
      <c r="E32" s="463"/>
      <c r="F32" s="463"/>
      <c r="G32" s="463"/>
      <c r="H32" s="463"/>
      <c r="I32" s="464"/>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3"/>
      <c r="AP32" s="13"/>
      <c r="AQ32" s="13"/>
      <c r="AR32" s="13"/>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13"/>
      <c r="CJ32" s="13"/>
      <c r="CK32" s="13"/>
      <c r="CL32" s="13"/>
      <c r="CM32" s="13"/>
      <c r="CN32" s="13"/>
      <c r="CO32" s="13"/>
      <c r="CP32" s="13"/>
      <c r="CQ32" s="13"/>
      <c r="CR32" s="13"/>
      <c r="CS32" s="13"/>
    </row>
    <row r="33" spans="1:97" ht="13.9" customHeight="1">
      <c r="B33" s="463"/>
      <c r="C33" s="463"/>
      <c r="D33" s="463"/>
      <c r="E33" s="463"/>
      <c r="F33" s="463"/>
      <c r="G33" s="463"/>
      <c r="H33" s="463"/>
      <c r="I33" s="464"/>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3"/>
      <c r="AP33" s="13"/>
      <c r="AQ33" s="13"/>
      <c r="AR33" s="13"/>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13"/>
      <c r="CJ33" s="13"/>
      <c r="CK33" s="13"/>
      <c r="CL33" s="13"/>
      <c r="CM33" s="13"/>
      <c r="CN33" s="13"/>
      <c r="CO33" s="13"/>
      <c r="CP33" s="13"/>
      <c r="CQ33" s="13"/>
      <c r="CR33" s="13"/>
      <c r="CS33" s="13"/>
    </row>
    <row r="34" spans="1:97">
      <c r="B34" s="465"/>
      <c r="C34" s="465"/>
      <c r="D34" s="465"/>
      <c r="E34" s="466"/>
      <c r="F34" s="463"/>
      <c r="G34" s="465"/>
      <c r="H34" s="465"/>
      <c r="I34" s="465"/>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3"/>
      <c r="AP34" s="13"/>
      <c r="AQ34" s="13"/>
      <c r="AR34" s="13"/>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13"/>
      <c r="CG34" s="13"/>
      <c r="CH34" s="13"/>
      <c r="CI34" s="13"/>
      <c r="CJ34" s="13"/>
      <c r="CK34" s="13"/>
      <c r="CL34" s="13"/>
      <c r="CM34" s="13"/>
      <c r="CN34" s="13"/>
      <c r="CO34" s="13"/>
      <c r="CP34" s="13"/>
      <c r="CQ34" s="13"/>
      <c r="CR34" s="13"/>
      <c r="CS34" s="13"/>
    </row>
    <row r="35" spans="1:97" ht="13.9" customHeight="1">
      <c r="H35" s="290"/>
      <c r="I35" s="316"/>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3"/>
      <c r="AP35" s="13"/>
      <c r="AQ35" s="13"/>
      <c r="AR35" s="13"/>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13"/>
      <c r="CG35" s="13"/>
      <c r="CH35" s="13"/>
      <c r="CI35" s="13"/>
      <c r="CJ35" s="13"/>
      <c r="CK35" s="13"/>
      <c r="CL35" s="13"/>
      <c r="CM35" s="13"/>
      <c r="CN35" s="13"/>
      <c r="CO35" s="13"/>
      <c r="CP35" s="13"/>
      <c r="CQ35" s="13"/>
      <c r="CR35" s="13"/>
      <c r="CS35" s="13"/>
    </row>
    <row r="36" spans="1:97" ht="13.9" customHeight="1">
      <c r="H36" s="290"/>
      <c r="I36" s="316"/>
      <c r="J36" s="13"/>
    </row>
    <row r="37" spans="1:97" ht="13.9" customHeight="1">
      <c r="A37" s="1288" t="s">
        <v>128</v>
      </c>
      <c r="B37" s="1288"/>
      <c r="C37" s="1288"/>
      <c r="D37" s="1288"/>
      <c r="E37" s="1288"/>
      <c r="F37" s="1288"/>
      <c r="G37" s="1288"/>
      <c r="H37" s="1288"/>
      <c r="I37" s="1288"/>
      <c r="J37" s="1288"/>
    </row>
    <row r="38" spans="1:97" ht="13.9" customHeight="1">
      <c r="A38" s="1286" t="s">
        <v>165</v>
      </c>
      <c r="B38" s="1286"/>
      <c r="C38" s="1286"/>
      <c r="D38" s="1286"/>
      <c r="E38" s="1286"/>
      <c r="F38" s="1286"/>
      <c r="G38" s="1286"/>
      <c r="H38" s="1286"/>
      <c r="I38" s="1286"/>
      <c r="J38" s="13"/>
    </row>
    <row r="39" spans="1:97" ht="13.9" customHeight="1"/>
    <row r="40" spans="1:97" ht="13.9" customHeight="1">
      <c r="A40" s="1240" t="s">
        <v>309</v>
      </c>
      <c r="B40" s="1240"/>
      <c r="C40" s="1240"/>
      <c r="D40" s="1240"/>
      <c r="E40" s="1240"/>
      <c r="F40" s="1240"/>
      <c r="G40" s="1240"/>
      <c r="H40" s="1240"/>
      <c r="I40" s="1240"/>
      <c r="J40" s="1240"/>
    </row>
    <row r="41" spans="1:97" ht="13.9" customHeight="1">
      <c r="A41" s="1240"/>
      <c r="B41" s="1240"/>
      <c r="C41" s="1240"/>
      <c r="D41" s="1240"/>
      <c r="E41" s="1240"/>
      <c r="F41" s="1240"/>
      <c r="G41" s="1240"/>
      <c r="H41" s="1240"/>
      <c r="I41" s="1240"/>
      <c r="J41" s="1240"/>
    </row>
    <row r="42" spans="1:97" ht="13.9" customHeight="1">
      <c r="A42" s="1240"/>
      <c r="B42" s="1240"/>
      <c r="C42" s="1240"/>
      <c r="D42" s="1240"/>
      <c r="E42" s="1240"/>
      <c r="F42" s="1240"/>
      <c r="G42" s="1240"/>
      <c r="H42" s="1240"/>
      <c r="I42" s="1240"/>
      <c r="J42" s="1240"/>
      <c r="K42" s="13"/>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row>
    <row r="43" spans="1:97">
      <c r="J43" s="13"/>
      <c r="K43" s="13"/>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row>
  </sheetData>
  <sheetProtection password="E041" sheet="1" objects="1" scenarios="1" formatCells="0" formatColumns="0" formatRows="0"/>
  <mergeCells count="15">
    <mergeCell ref="A37:J37"/>
    <mergeCell ref="A38:I38"/>
    <mergeCell ref="A40:J42"/>
    <mergeCell ref="O6:P6"/>
    <mergeCell ref="A1:J1"/>
    <mergeCell ref="K1:M1"/>
    <mergeCell ref="B3:I3"/>
    <mergeCell ref="B4:I4"/>
    <mergeCell ref="G27:I27"/>
    <mergeCell ref="B28:F28"/>
    <mergeCell ref="A2:J2"/>
    <mergeCell ref="K4:M5"/>
    <mergeCell ref="G30:I30"/>
    <mergeCell ref="B31:F31"/>
    <mergeCell ref="G31:I31"/>
  </mergeCells>
  <printOptions horizontalCentered="1"/>
  <pageMargins left="0.19685039370078741" right="0.19685039370078741" top="1.95" bottom="0.74803149606299213" header="0.31496062992125984" footer="0.31496062992125984"/>
  <pageSetup paperSize="9" scale="97" orientation="portrait" r:id="rId1"/>
  <headerFooter>
    <oddHeader>&amp;L&amp;G&amp;R&amp;G</oddHeader>
  </headerFooter>
  <drawing r:id="rId2"/>
  <legacyDrawingHF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7</vt:i4>
      </vt:variant>
    </vt:vector>
  </HeadingPairs>
  <TitlesOfParts>
    <vt:vector size="18" baseType="lpstr">
      <vt:lpstr>Set Up</vt:lpstr>
      <vt:lpstr>Draw</vt:lpstr>
      <vt:lpstr>Day 1</vt:lpstr>
      <vt:lpstr>Day 1 Details</vt:lpstr>
      <vt:lpstr>Day 1 Result</vt:lpstr>
      <vt:lpstr>Series</vt:lpstr>
      <vt:lpstr>Day 2</vt:lpstr>
      <vt:lpstr>Day 2 Details</vt:lpstr>
      <vt:lpstr>Day 2 Result</vt:lpstr>
      <vt:lpstr>Classification</vt:lpstr>
      <vt:lpstr>Keys</vt:lpstr>
      <vt:lpstr>Classification!Print_Area</vt:lpstr>
      <vt:lpstr>'Day 1'!Print_Area</vt:lpstr>
      <vt:lpstr>'Day 1 Details'!Print_Area</vt:lpstr>
      <vt:lpstr>'Day 1 Result'!Print_Area</vt:lpstr>
      <vt:lpstr>'Day 2 Details'!Print_Area</vt:lpstr>
      <vt:lpstr>'Day 2 Result'!Print_Area</vt:lpstr>
      <vt:lpstr>Draw!Print_Area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Dave Gambrill</dc:creator>
  <dc:description>Based on 2009_Master_b.
Dead Heat display corrected.</dc:description>
  <cp:lastModifiedBy>Isabelle Lariviere</cp:lastModifiedBy>
  <cp:lastPrinted>2015-02-08T14:38:34Z</cp:lastPrinted>
  <dcterms:created xsi:type="dcterms:W3CDTF">1997-09-13T16:18:20Z</dcterms:created>
  <dcterms:modified xsi:type="dcterms:W3CDTF">2015-03-07T22:14:23Z</dcterms:modified>
</cp:coreProperties>
</file>